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0" yWindow="0" windowWidth="21720" windowHeight="13620" activeTab="4"/>
  </bookViews>
  <sheets>
    <sheet name="Sheet1" sheetId="3" r:id="rId1"/>
    <sheet name="Traction au Mouillage" sheetId="4" r:id="rId2"/>
    <sheet name="Sheet2" sheetId="2" r:id="rId3"/>
    <sheet name="Mouillage simple" sheetId="5" r:id="rId4"/>
    <sheet name="Mouillage complet 2 ancres" sheetId="6" r:id="rId5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" i="6"/>
  <c r="K5"/>
  <c r="G6"/>
  <c r="K6"/>
  <c r="K7"/>
  <c r="K8"/>
  <c r="K9"/>
  <c r="K10"/>
  <c r="K11"/>
  <c r="G12"/>
  <c r="K12"/>
  <c r="G13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3"/>
  <c r="L4"/>
  <c r="L5"/>
  <c r="C6"/>
  <c r="L6"/>
  <c r="L7"/>
  <c r="L8"/>
  <c r="L9"/>
  <c r="L10"/>
  <c r="L11"/>
  <c r="C12"/>
  <c r="L12"/>
  <c r="C13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K52"/>
  <c r="L52"/>
  <c r="A53"/>
  <c r="K53"/>
  <c r="L53"/>
  <c r="K4" i="5"/>
  <c r="K5"/>
  <c r="G6"/>
  <c r="K6"/>
  <c r="K7"/>
  <c r="K8"/>
  <c r="K9"/>
  <c r="K10"/>
  <c r="K11"/>
  <c r="G12"/>
  <c r="K12"/>
  <c r="G13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3"/>
  <c r="L4"/>
  <c r="L5"/>
  <c r="C6"/>
  <c r="L6"/>
  <c r="L7"/>
  <c r="L8"/>
  <c r="L9"/>
  <c r="L10"/>
  <c r="L11"/>
  <c r="C12"/>
  <c r="L12"/>
  <c r="C13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K52"/>
  <c r="L52"/>
  <c r="A53"/>
  <c r="K53"/>
  <c r="L53"/>
  <c r="O5" i="4"/>
  <c r="Q5"/>
  <c r="U5"/>
  <c r="O4"/>
  <c r="Q4"/>
  <c r="U4"/>
  <c r="O6"/>
  <c r="Q6"/>
  <c r="U6"/>
  <c r="O7"/>
  <c r="Q7"/>
  <c r="U7"/>
  <c r="O8"/>
  <c r="Q8"/>
  <c r="U8"/>
  <c r="O9"/>
  <c r="Q9"/>
  <c r="U9"/>
  <c r="O10"/>
  <c r="Q10"/>
  <c r="U10"/>
  <c r="O11"/>
  <c r="Q11"/>
  <c r="U11"/>
  <c r="O12"/>
  <c r="Q12"/>
  <c r="U12"/>
  <c r="O13"/>
  <c r="Q13"/>
  <c r="U13"/>
  <c r="O14"/>
  <c r="Q14"/>
  <c r="U14"/>
  <c r="V5"/>
  <c r="V6"/>
  <c r="V7"/>
  <c r="V8"/>
  <c r="V9"/>
  <c r="V10"/>
  <c r="V11"/>
  <c r="V12"/>
  <c r="V13"/>
  <c r="V14"/>
  <c r="V4"/>
  <c r="S5"/>
  <c r="S4"/>
  <c r="S6"/>
  <c r="S7"/>
  <c r="S8"/>
  <c r="S9"/>
  <c r="S10"/>
  <c r="S11"/>
  <c r="S12"/>
  <c r="S13"/>
  <c r="S14"/>
  <c r="T5"/>
  <c r="T6"/>
  <c r="T7"/>
  <c r="T8"/>
  <c r="T9"/>
  <c r="T10"/>
  <c r="T11"/>
  <c r="T12"/>
  <c r="T13"/>
  <c r="T14"/>
  <c r="T4"/>
  <c r="S15"/>
  <c r="S16"/>
  <c r="P15"/>
  <c r="P16"/>
  <c r="N15"/>
  <c r="N16"/>
  <c r="C30" i="3"/>
  <c r="L30"/>
  <c r="J30"/>
  <c r="H30"/>
  <c r="B30"/>
  <c r="A7" i="4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K39"/>
  <c r="I39"/>
  <c r="G39"/>
  <c r="E39"/>
  <c r="C39"/>
  <c r="K33"/>
  <c r="K34"/>
  <c r="K35"/>
  <c r="K36"/>
  <c r="K37"/>
  <c r="K38"/>
  <c r="J38"/>
  <c r="I33"/>
  <c r="I34"/>
  <c r="I35"/>
  <c r="I36"/>
  <c r="I37"/>
  <c r="I38"/>
  <c r="H38"/>
  <c r="G33"/>
  <c r="G34"/>
  <c r="G35"/>
  <c r="G36"/>
  <c r="G37"/>
  <c r="G38"/>
  <c r="F38"/>
  <c r="E33"/>
  <c r="E34"/>
  <c r="E35"/>
  <c r="E36"/>
  <c r="E37"/>
  <c r="E38"/>
  <c r="D38"/>
  <c r="C33"/>
  <c r="C34"/>
  <c r="C35"/>
  <c r="C36"/>
  <c r="C37"/>
  <c r="C38"/>
  <c r="B38"/>
  <c r="J37"/>
  <c r="H37"/>
  <c r="F37"/>
  <c r="D37"/>
  <c r="B37"/>
  <c r="J36"/>
  <c r="H36"/>
  <c r="F36"/>
  <c r="D36"/>
  <c r="B36"/>
  <c r="J35"/>
  <c r="H35"/>
  <c r="F35"/>
  <c r="D35"/>
  <c r="B35"/>
  <c r="J34"/>
  <c r="H34"/>
  <c r="F34"/>
  <c r="D34"/>
  <c r="B34"/>
  <c r="K27"/>
  <c r="K28"/>
  <c r="K29"/>
  <c r="K30"/>
  <c r="K31"/>
  <c r="K32"/>
  <c r="J32"/>
  <c r="I27"/>
  <c r="I28"/>
  <c r="I29"/>
  <c r="I30"/>
  <c r="I31"/>
  <c r="I32"/>
  <c r="H32"/>
  <c r="G27"/>
  <c r="G28"/>
  <c r="G29"/>
  <c r="G30"/>
  <c r="G31"/>
  <c r="G32"/>
  <c r="F32"/>
  <c r="E27"/>
  <c r="E28"/>
  <c r="E29"/>
  <c r="E30"/>
  <c r="E31"/>
  <c r="E32"/>
  <c r="D32"/>
  <c r="C27"/>
  <c r="C28"/>
  <c r="C29"/>
  <c r="C30"/>
  <c r="C31"/>
  <c r="C32"/>
  <c r="B32"/>
  <c r="J31"/>
  <c r="H31"/>
  <c r="F31"/>
  <c r="D31"/>
  <c r="B31"/>
  <c r="J30"/>
  <c r="H30"/>
  <c r="F30"/>
  <c r="D30"/>
  <c r="B30"/>
  <c r="J29"/>
  <c r="H29"/>
  <c r="F29"/>
  <c r="D29"/>
  <c r="B29"/>
  <c r="J28"/>
  <c r="H28"/>
  <c r="F28"/>
  <c r="D28"/>
  <c r="B28"/>
  <c r="K21"/>
  <c r="K22"/>
  <c r="K23"/>
  <c r="K24"/>
  <c r="K25"/>
  <c r="K26"/>
  <c r="J26"/>
  <c r="I21"/>
  <c r="I22"/>
  <c r="I23"/>
  <c r="I24"/>
  <c r="I25"/>
  <c r="I26"/>
  <c r="H26"/>
  <c r="G21"/>
  <c r="G22"/>
  <c r="G23"/>
  <c r="G24"/>
  <c r="G25"/>
  <c r="G26"/>
  <c r="F26"/>
  <c r="E21"/>
  <c r="E22"/>
  <c r="E23"/>
  <c r="E24"/>
  <c r="E25"/>
  <c r="E26"/>
  <c r="D26"/>
  <c r="C21"/>
  <c r="C22"/>
  <c r="C23"/>
  <c r="C24"/>
  <c r="C25"/>
  <c r="C26"/>
  <c r="B26"/>
  <c r="J25"/>
  <c r="H25"/>
  <c r="F25"/>
  <c r="D25"/>
  <c r="B25"/>
  <c r="J24"/>
  <c r="H24"/>
  <c r="F24"/>
  <c r="D24"/>
  <c r="B24"/>
  <c r="J23"/>
  <c r="H23"/>
  <c r="F23"/>
  <c r="D23"/>
  <c r="B23"/>
  <c r="J22"/>
  <c r="H22"/>
  <c r="F22"/>
  <c r="D22"/>
  <c r="B22"/>
  <c r="K18"/>
  <c r="K19"/>
  <c r="K20"/>
  <c r="J20"/>
  <c r="I18"/>
  <c r="I19"/>
  <c r="I20"/>
  <c r="H20"/>
  <c r="G18"/>
  <c r="G19"/>
  <c r="G20"/>
  <c r="F20"/>
  <c r="E18"/>
  <c r="E19"/>
  <c r="E20"/>
  <c r="D20"/>
  <c r="C18"/>
  <c r="C19"/>
  <c r="C20"/>
  <c r="B20"/>
  <c r="J19"/>
  <c r="H19"/>
  <c r="F19"/>
  <c r="D19"/>
  <c r="B19"/>
  <c r="K15"/>
  <c r="K16"/>
  <c r="K17"/>
  <c r="J17"/>
  <c r="I15"/>
  <c r="I16"/>
  <c r="I17"/>
  <c r="H17"/>
  <c r="G15"/>
  <c r="G16"/>
  <c r="G17"/>
  <c r="F17"/>
  <c r="E15"/>
  <c r="E16"/>
  <c r="E17"/>
  <c r="D17"/>
  <c r="C15"/>
  <c r="C16"/>
  <c r="C17"/>
  <c r="B17"/>
  <c r="J16"/>
  <c r="H16"/>
  <c r="F16"/>
  <c r="D16"/>
  <c r="B16"/>
  <c r="K12"/>
  <c r="K13"/>
  <c r="K14"/>
  <c r="J14"/>
  <c r="I12"/>
  <c r="I13"/>
  <c r="I14"/>
  <c r="H14"/>
  <c r="G12"/>
  <c r="G13"/>
  <c r="G14"/>
  <c r="F14"/>
  <c r="E12"/>
  <c r="E13"/>
  <c r="E14"/>
  <c r="D14"/>
  <c r="C12"/>
  <c r="C13"/>
  <c r="C14"/>
  <c r="B14"/>
  <c r="J13"/>
  <c r="H13"/>
  <c r="F13"/>
  <c r="D13"/>
  <c r="B13"/>
  <c r="K9"/>
  <c r="K10"/>
  <c r="K11"/>
  <c r="J11"/>
  <c r="I9"/>
  <c r="I10"/>
  <c r="I11"/>
  <c r="H11"/>
  <c r="G9"/>
  <c r="G10"/>
  <c r="G11"/>
  <c r="F11"/>
  <c r="E9"/>
  <c r="E10"/>
  <c r="E11"/>
  <c r="D11"/>
  <c r="C9"/>
  <c r="C10"/>
  <c r="C11"/>
  <c r="B11"/>
  <c r="J10"/>
  <c r="H10"/>
  <c r="F10"/>
  <c r="D10"/>
  <c r="B10"/>
  <c r="K6"/>
  <c r="K7"/>
  <c r="K8"/>
  <c r="J8"/>
  <c r="I6"/>
  <c r="I7"/>
  <c r="I8"/>
  <c r="H8"/>
  <c r="G6"/>
  <c r="G7"/>
  <c r="G8"/>
  <c r="F8"/>
  <c r="E6"/>
  <c r="E7"/>
  <c r="E8"/>
  <c r="D8"/>
  <c r="C6"/>
  <c r="C7"/>
  <c r="C8"/>
  <c r="B8"/>
  <c r="J7"/>
  <c r="H7"/>
  <c r="F7"/>
  <c r="D7"/>
  <c r="B7"/>
  <c r="J4"/>
  <c r="H4"/>
  <c r="F4"/>
  <c r="D4"/>
  <c r="B4"/>
  <c r="B17" i="3"/>
  <c r="B13" i="2"/>
  <c r="B6"/>
  <c r="D10" i="3"/>
  <c r="F12"/>
  <c r="B11"/>
  <c r="B12"/>
  <c r="F11"/>
  <c r="D13"/>
  <c r="B16"/>
  <c r="B15"/>
  <c r="D11"/>
  <c r="D9"/>
  <c r="D12"/>
  <c r="F14"/>
  <c r="F9"/>
  <c r="F10"/>
  <c r="F13"/>
</calcChain>
</file>

<file path=xl/sharedStrings.xml><?xml version="1.0" encoding="utf-8"?>
<sst xmlns="http://schemas.openxmlformats.org/spreadsheetml/2006/main" count="152" uniqueCount="111">
  <si>
    <t>g</t>
  </si>
  <si>
    <t>Prévoir donc 5m de chaîne de 8mm + cordage plombé 12mm 35m + extension cordage non flottant 40m (total 80m -  5 à 6 longueurs fond 13,5-16m- 10 longueur fond 8m)</t>
  </si>
  <si>
    <t>Chaîne ISO 3D  _ Ovale intérieur 6mm - 18 x 9mm, 8mm - 24 x 12mm, 10mm - 30 x 15mm</t>
  </si>
  <si>
    <t>Ancre KOBRA</t>
  </si>
  <si>
    <t>CHARGE</t>
  </si>
  <si>
    <t xml:space="preserve">Travail </t>
  </si>
  <si>
    <t>Rupture</t>
  </si>
  <si>
    <t>Poids (kg)</t>
  </si>
  <si>
    <t>Maillon démontable inox 8mm "Loctité"</t>
  </si>
  <si>
    <t>Cordage plombé 12mm L35m</t>
  </si>
  <si>
    <t>Chaîne 8mm galva L 5m</t>
  </si>
  <si>
    <t>Maillon démontable inox 10mm à la pince</t>
  </si>
  <si>
    <t>x</t>
  </si>
  <si>
    <t>y</t>
  </si>
  <si>
    <t>z</t>
  </si>
  <si>
    <t>u</t>
  </si>
  <si>
    <t>v</t>
  </si>
  <si>
    <t>w</t>
  </si>
  <si>
    <t>r</t>
  </si>
  <si>
    <t>s</t>
  </si>
  <si>
    <t>t</t>
  </si>
  <si>
    <t>j</t>
  </si>
  <si>
    <t>k</t>
  </si>
  <si>
    <t xml:space="preserve">Liaison chaîne - ancre  avec maillon démontable inox de 8mm assuré à la Loctite frein, liaison chaîne 8mm cordage plombé 12mm épissurée sur la chaîne sans manille, liaison cordage plombé cordage non flottant: 2 cosses inox réunies par maillon démontable 10mm inox  </t>
  </si>
  <si>
    <t>USHIP</t>
  </si>
  <si>
    <t>AD</t>
  </si>
  <si>
    <t xml:space="preserve">35 x </t>
  </si>
  <si>
    <t xml:space="preserve">40 x </t>
  </si>
  <si>
    <t>Références</t>
  </si>
  <si>
    <t xml:space="preserve"> "Prix: "&amp;SOMME(G7:H24)&amp;" €"</t>
  </si>
  <si>
    <t>Type de la chaîne 3D/3,5 D</t>
  </si>
  <si>
    <t>Diamètre médian du Tore (cm)</t>
  </si>
  <si>
    <t>Diamètre du maillon (mm)</t>
  </si>
  <si>
    <t xml:space="preserve">e (mm) = </t>
  </si>
  <si>
    <t>Section du Tore (cm²)</t>
  </si>
  <si>
    <t>Poids du Tore (g)</t>
  </si>
  <si>
    <t>Densité du métal</t>
  </si>
  <si>
    <t xml:space="preserve">Pas de la chaîne I (mm) = </t>
  </si>
  <si>
    <t>Poids du chaînon</t>
  </si>
  <si>
    <t>Poids de chaîne au M (kg)</t>
  </si>
  <si>
    <t>Portion droite (cm)</t>
  </si>
  <si>
    <t>Nombre de chaînons au M</t>
  </si>
  <si>
    <t>Longueur de chaîne (M)</t>
  </si>
  <si>
    <t>Poids de chaîne (kg)</t>
  </si>
  <si>
    <t>Poids apparent mouillé-immergé</t>
  </si>
  <si>
    <r>
      <t>Volume partie droite  (cm</t>
    </r>
    <r>
      <rPr>
        <vertAlign val="superscript"/>
        <sz val="8"/>
        <color theme="2" tint="-9.9978637043366805E-2"/>
        <rFont val="Arial Narrow"/>
        <family val="2"/>
      </rPr>
      <t>3</t>
    </r>
    <r>
      <rPr>
        <sz val="8"/>
        <color theme="2" tint="-9.9978637043366805E-2"/>
        <rFont val="Arial Narrow"/>
        <family val="2"/>
      </rPr>
      <t>)</t>
    </r>
  </si>
  <si>
    <r>
      <t>Volume du chaînon (cm</t>
    </r>
    <r>
      <rPr>
        <vertAlign val="superscript"/>
        <sz val="8"/>
        <color theme="2" tint="-9.9978637043366805E-2"/>
        <rFont val="Arial Narrow"/>
        <family val="2"/>
      </rPr>
      <t>3</t>
    </r>
    <r>
      <rPr>
        <sz val="8"/>
        <color theme="2" tint="-9.9978637043366805E-2"/>
        <rFont val="Arial Narrow"/>
        <family val="2"/>
      </rPr>
      <t>)</t>
    </r>
  </si>
  <si>
    <r>
      <t>Volume du Tore (cm</t>
    </r>
    <r>
      <rPr>
        <vertAlign val="superscript"/>
        <sz val="8"/>
        <color theme="2" tint="-9.9978637043366805E-2"/>
        <rFont val="Arial Narrow"/>
        <family val="2"/>
      </rPr>
      <t>3</t>
    </r>
    <r>
      <rPr>
        <sz val="8"/>
        <color theme="2" tint="-9.9978637043366805E-2"/>
        <rFont val="Arial Narrow"/>
        <family val="2"/>
      </rPr>
      <t>)</t>
    </r>
  </si>
  <si>
    <t>Cordage "compléter" 40m de 14mm</t>
  </si>
  <si>
    <t>Charge de travail</t>
  </si>
  <si>
    <t>BEAUFORT</t>
  </si>
  <si>
    <t>COMPTE RENDU ESSAIS COMPARES DES ANCRES</t>
  </si>
  <si>
    <t>CLASSEMENT</t>
  </si>
  <si>
    <t>1er classement</t>
  </si>
  <si>
    <t>Moyenne des classements</t>
  </si>
  <si>
    <t>Classement des moyennes des classements</t>
  </si>
  <si>
    <t>Vitesse du vent en nœuds</t>
  </si>
  <si>
    <t>Vitesse du vent en km/h</t>
  </si>
  <si>
    <t>BRITANNY</t>
  </si>
  <si>
    <t>Longueur du bateau en m</t>
  </si>
  <si>
    <t>Effort de traction en daN</t>
  </si>
  <si>
    <t>KOBRA 2</t>
  </si>
  <si>
    <t>DELTA LEWAR</t>
  </si>
  <si>
    <t>BUGEL</t>
  </si>
  <si>
    <t>MANSON SUPREME</t>
  </si>
  <si>
    <t>BRAKE 16kg</t>
  </si>
  <si>
    <t>MINIBEE 6,50</t>
  </si>
  <si>
    <t>SPADE S80</t>
  </si>
  <si>
    <t>XYZ</t>
  </si>
  <si>
    <t>CQR</t>
  </si>
  <si>
    <t>SPADE A80 (aluminium 7kg)</t>
  </si>
  <si>
    <t>FORTRESS 10,6kg</t>
  </si>
  <si>
    <t>EXPECTED TENUE FORTRESS FX7</t>
  </si>
  <si>
    <t>2 x FORTRESS FX7</t>
  </si>
  <si>
    <t xml:space="preserve">Une accélération d’environ 1G suffisante à provoquer déséquilibre d'un homme debout sur le pont est atteinte lorsque la tension atteint la valeur de la masse du navire. </t>
  </si>
  <si>
    <t>Équation de la chainette donnant la valeur estimée de la tension en fonction de la longueur, du poids au mètre et de la flèche.</t>
  </si>
  <si>
    <t>Plus le pas est faible, plus il y a de métal, donc de poids au mètre, plus il faut de force pour la tendre</t>
  </si>
  <si>
    <t>Poids de la chaîne au mètre:</t>
  </si>
  <si>
    <t>Longueur de la chaîne en mètres:</t>
  </si>
  <si>
    <t>Flèche en mètres:</t>
  </si>
  <si>
    <t>Tension résultante:</t>
  </si>
  <si>
    <t>Formule à prendre avec des pincettes</t>
  </si>
  <si>
    <r>
      <rPr>
        <b/>
        <sz val="20"/>
        <color theme="1"/>
        <rFont val="Symbol"/>
        <family val="1"/>
        <charset val="2"/>
      </rPr>
      <t>f</t>
    </r>
    <r>
      <rPr>
        <b/>
        <sz val="20"/>
        <color theme="1"/>
        <rFont val="Calibri"/>
        <family val="2"/>
      </rPr>
      <t xml:space="preserve"> de la chaîne en mm:</t>
    </r>
  </si>
  <si>
    <t>SABLE DUR (kg)</t>
  </si>
  <si>
    <t>SABLE + VASE (kg)</t>
  </si>
  <si>
    <t>Surface cm²</t>
  </si>
  <si>
    <t>Moyenne des tenues (kg)</t>
  </si>
  <si>
    <t>Cordage polyamide 3 torons 12mm - L= 30m</t>
  </si>
  <si>
    <t>Futuna polyamide ragage résistant 14mm - 40m</t>
  </si>
  <si>
    <t>A61202</t>
  </si>
  <si>
    <t>Cosse cœur Inox 10mm</t>
  </si>
  <si>
    <t xml:space="preserve">Anneau WICHARD rond 7,3mm ref. 6784 - int 45mm </t>
  </si>
  <si>
    <t>Union bout plombé - Anneau WICHARD - Manille lyre galva estampillée de 10mm</t>
  </si>
  <si>
    <t>C10610</t>
  </si>
  <si>
    <t>Cordage COUSIN plombé 10mm- L = 30m</t>
  </si>
  <si>
    <t>A10270</t>
  </si>
  <si>
    <t>Union chaîne bout plombé- Manille lyre galva estampillée de 10mm</t>
  </si>
  <si>
    <t>M22006</t>
  </si>
  <si>
    <t>Chaîne galva de 6mm - L= 3m</t>
  </si>
  <si>
    <t>Union ancre-chaîne - Manille lyre galva estampillée de 10mm</t>
  </si>
  <si>
    <t>M12507</t>
  </si>
  <si>
    <t>Ancre légère FORTRESS FX7</t>
  </si>
  <si>
    <t>Prout</t>
  </si>
  <si>
    <t>Poids</t>
  </si>
  <si>
    <t>Total</t>
  </si>
  <si>
    <t>Nbr</t>
  </si>
  <si>
    <t>Prix</t>
  </si>
  <si>
    <t>Référence</t>
  </si>
  <si>
    <t>Résultats</t>
  </si>
  <si>
    <t>Schipchandler</t>
  </si>
  <si>
    <t>P (kg)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</si>
</sst>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34">
    <font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20"/>
      <color theme="1"/>
      <name val="Arial"/>
      <family val="2"/>
    </font>
    <font>
      <sz val="20"/>
      <color rgb="FFFF0000"/>
      <name val="Arial"/>
      <family val="2"/>
    </font>
    <font>
      <sz val="8"/>
      <color theme="2" tint="-9.9978637043366805E-2"/>
      <name val="Arial Narrow"/>
      <family val="2"/>
    </font>
    <font>
      <vertAlign val="superscript"/>
      <sz val="8"/>
      <color theme="2" tint="-9.9978637043366805E-2"/>
      <name val="Arial Narrow"/>
      <family val="2"/>
    </font>
    <font>
      <sz val="10"/>
      <name val="Arial"/>
    </font>
    <font>
      <sz val="11"/>
      <color theme="1"/>
      <name val="Arial"/>
      <family val="2"/>
    </font>
    <font>
      <b/>
      <sz val="14"/>
      <color theme="1"/>
      <name val="Lucida Handwriting"/>
    </font>
    <font>
      <b/>
      <i/>
      <sz val="12"/>
      <name val="Arial"/>
    </font>
    <font>
      <b/>
      <sz val="14"/>
      <color rgb="FFB2B2B2"/>
      <name val="Lucida Handwriting"/>
    </font>
    <font>
      <b/>
      <sz val="11"/>
      <color theme="1"/>
      <name val="Arial"/>
      <family val="2"/>
    </font>
    <font>
      <b/>
      <sz val="11"/>
      <color rgb="FFB2B2B2"/>
      <name val="Arial"/>
      <family val="2"/>
    </font>
    <font>
      <sz val="11"/>
      <name val="Arial"/>
    </font>
    <font>
      <b/>
      <sz val="11"/>
      <name val="Arial"/>
    </font>
    <font>
      <b/>
      <sz val="11"/>
      <color rgb="FFFF0000"/>
      <name val="Arial"/>
      <family val="2"/>
    </font>
    <font>
      <sz val="9"/>
      <color theme="1"/>
      <name val="Arial"/>
      <family val="2"/>
    </font>
    <font>
      <sz val="9"/>
      <color rgb="FFB2B2B2"/>
      <name val="Arial"/>
      <family val="2"/>
    </font>
    <font>
      <sz val="11"/>
      <color rgb="FFFF0000"/>
      <name val="Arial"/>
      <family val="2"/>
    </font>
    <font>
      <sz val="11"/>
      <color rgb="FFB2B2B2"/>
      <name val="Arial"/>
      <family val="2"/>
    </font>
    <font>
      <sz val="12"/>
      <color theme="1"/>
      <name val="Times New Roman"/>
      <family val="1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Symbol"/>
      <family val="1"/>
      <charset val="2"/>
    </font>
    <font>
      <b/>
      <sz val="20"/>
      <color theme="1"/>
      <name val="Calibri"/>
      <family val="2"/>
    </font>
    <font>
      <b/>
      <sz val="20"/>
      <color rgb="FFFF0000"/>
      <name val="Calibri"/>
      <family val="2"/>
      <scheme val="minor"/>
    </font>
    <font>
      <b/>
      <sz val="20"/>
      <color rgb="FFFF0000"/>
      <name val="Arial"/>
      <family val="2"/>
    </font>
    <font>
      <sz val="10"/>
      <color rgb="FFFF0000"/>
      <name val="Arial"/>
      <family val="2"/>
    </font>
    <font>
      <b/>
      <i/>
      <sz val="12"/>
      <name val="Arial"/>
      <family val="2"/>
    </font>
    <font>
      <sz val="8"/>
      <name val="Arial Narrow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slantDashDot">
        <color auto="1"/>
      </left>
      <right style="hair">
        <color auto="1"/>
      </right>
      <top/>
      <bottom style="hair">
        <color auto="1"/>
      </bottom>
      <diagonal/>
    </border>
    <border>
      <left style="slantDashDot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slantDashDot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/>
      <right style="double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32" fillId="0" borderId="0"/>
  </cellStyleXfs>
  <cellXfs count="16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 applyProtection="1">
      <alignment horizontal="right" vertical="center"/>
    </xf>
    <xf numFmtId="0" fontId="0" fillId="0" borderId="3" xfId="0" applyFill="1" applyBorder="1" applyAlignment="1" applyProtection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right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right" vertical="center"/>
      <protection hidden="1"/>
    </xf>
    <xf numFmtId="0" fontId="2" fillId="0" borderId="9" xfId="0" applyFont="1" applyBorder="1" applyAlignment="1" applyProtection="1">
      <alignment horizontal="right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7" fillId="0" borderId="0" xfId="1" applyFont="1" applyBorder="1" applyAlignment="1">
      <alignment horizontal="center" vertical="center"/>
    </xf>
    <xf numFmtId="0" fontId="6" fillId="0" borderId="0" xfId="1"/>
    <xf numFmtId="0" fontId="8" fillId="2" borderId="19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  <xf numFmtId="0" fontId="14" fillId="4" borderId="7" xfId="1" applyFont="1" applyFill="1" applyBorder="1" applyAlignment="1">
      <alignment horizontal="center" vertical="center" wrapText="1"/>
    </xf>
    <xf numFmtId="0" fontId="14" fillId="4" borderId="8" xfId="1" applyFont="1" applyFill="1" applyBorder="1" applyAlignment="1">
      <alignment horizontal="center" vertical="center" wrapText="1"/>
    </xf>
    <xf numFmtId="0" fontId="6" fillId="0" borderId="20" xfId="1" applyBorder="1"/>
    <xf numFmtId="1" fontId="6" fillId="0" borderId="4" xfId="1" applyNumberFormat="1" applyBorder="1" applyAlignment="1">
      <alignment horizontal="center" vertical="center"/>
    </xf>
    <xf numFmtId="0" fontId="6" fillId="0" borderId="21" xfId="1" applyBorder="1" applyAlignment="1">
      <alignment horizontal="center" vertical="center"/>
    </xf>
    <xf numFmtId="0" fontId="14" fillId="5" borderId="5" xfId="1" applyFont="1" applyFill="1" applyBorder="1" applyAlignment="1">
      <alignment horizontal="center" vertical="center" wrapText="1"/>
    </xf>
    <xf numFmtId="0" fontId="15" fillId="5" borderId="5" xfId="1" applyFont="1" applyFill="1" applyBorder="1" applyAlignment="1">
      <alignment horizontal="center" vertical="center"/>
    </xf>
    <xf numFmtId="2" fontId="16" fillId="0" borderId="25" xfId="1" applyNumberFormat="1" applyFont="1" applyBorder="1" applyAlignment="1">
      <alignment horizontal="center" vertical="center"/>
    </xf>
    <xf numFmtId="2" fontId="17" fillId="0" borderId="1" xfId="1" applyNumberFormat="1" applyFont="1" applyBorder="1" applyAlignment="1">
      <alignment horizontal="center" vertical="center"/>
    </xf>
    <xf numFmtId="2" fontId="16" fillId="0" borderId="1" xfId="1" applyNumberFormat="1" applyFont="1" applyBorder="1" applyAlignment="1">
      <alignment horizontal="center" vertical="center"/>
    </xf>
    <xf numFmtId="2" fontId="16" fillId="0" borderId="26" xfId="1" applyNumberFormat="1" applyFont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2" fontId="16" fillId="0" borderId="20" xfId="1" applyNumberFormat="1" applyFont="1" applyBorder="1" applyAlignment="1">
      <alignment horizontal="center" vertical="center"/>
    </xf>
    <xf numFmtId="2" fontId="17" fillId="0" borderId="4" xfId="1" applyNumberFormat="1" applyFont="1" applyBorder="1" applyAlignment="1">
      <alignment horizontal="center" vertical="center"/>
    </xf>
    <xf numFmtId="2" fontId="16" fillId="0" borderId="4" xfId="1" applyNumberFormat="1" applyFont="1" applyBorder="1" applyAlignment="1">
      <alignment horizontal="center" vertical="center"/>
    </xf>
    <xf numFmtId="2" fontId="16" fillId="0" borderId="21" xfId="1" applyNumberFormat="1" applyFont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2" fontId="16" fillId="6" borderId="20" xfId="1" applyNumberFormat="1" applyFont="1" applyFill="1" applyBorder="1" applyAlignment="1">
      <alignment horizontal="center" vertical="center"/>
    </xf>
    <xf numFmtId="2" fontId="17" fillId="6" borderId="4" xfId="1" applyNumberFormat="1" applyFont="1" applyFill="1" applyBorder="1" applyAlignment="1">
      <alignment horizontal="center" vertical="center"/>
    </xf>
    <xf numFmtId="2" fontId="16" fillId="6" borderId="4" xfId="1" applyNumberFormat="1" applyFont="1" applyFill="1" applyBorder="1" applyAlignment="1">
      <alignment horizontal="center" vertical="center"/>
    </xf>
    <xf numFmtId="2" fontId="16" fillId="6" borderId="21" xfId="1" applyNumberFormat="1" applyFont="1" applyFill="1" applyBorder="1" applyAlignment="1">
      <alignment horizontal="center" vertical="center"/>
    </xf>
    <xf numFmtId="0" fontId="18" fillId="5" borderId="5" xfId="1" applyFont="1" applyFill="1" applyBorder="1" applyAlignment="1">
      <alignment horizontal="center" vertical="center"/>
    </xf>
    <xf numFmtId="0" fontId="14" fillId="6" borderId="20" xfId="1" applyFont="1" applyFill="1" applyBorder="1"/>
    <xf numFmtId="0" fontId="14" fillId="6" borderId="4" xfId="1" applyFont="1" applyFill="1" applyBorder="1" applyAlignment="1">
      <alignment horizontal="center" vertical="center"/>
    </xf>
    <xf numFmtId="1" fontId="14" fillId="6" borderId="4" xfId="1" applyNumberFormat="1" applyFont="1" applyFill="1" applyBorder="1" applyAlignment="1">
      <alignment horizontal="center" vertical="center"/>
    </xf>
    <xf numFmtId="0" fontId="6" fillId="6" borderId="4" xfId="1" applyFill="1" applyBorder="1" applyAlignment="1">
      <alignment horizontal="center" vertical="center"/>
    </xf>
    <xf numFmtId="0" fontId="6" fillId="6" borderId="4" xfId="1" applyFill="1" applyBorder="1"/>
    <xf numFmtId="0" fontId="6" fillId="6" borderId="21" xfId="1" applyFill="1" applyBorder="1"/>
    <xf numFmtId="0" fontId="6" fillId="0" borderId="0" xfId="1" applyFill="1"/>
    <xf numFmtId="0" fontId="6" fillId="0" borderId="27" xfId="1" applyFill="1" applyBorder="1" applyAlignment="1">
      <alignment vertical="center" textRotation="90"/>
    </xf>
    <xf numFmtId="0" fontId="6" fillId="0" borderId="18" xfId="1" applyFill="1" applyBorder="1" applyAlignment="1">
      <alignment vertical="center" textRotation="90"/>
    </xf>
    <xf numFmtId="0" fontId="18" fillId="5" borderId="8" xfId="1" applyFont="1" applyFill="1" applyBorder="1" applyAlignment="1">
      <alignment horizontal="center" vertical="center"/>
    </xf>
    <xf numFmtId="2" fontId="16" fillId="0" borderId="28" xfId="1" applyNumberFormat="1" applyFont="1" applyBorder="1" applyAlignment="1">
      <alignment horizontal="center" vertical="center"/>
    </xf>
    <xf numFmtId="2" fontId="17" fillId="0" borderId="29" xfId="1" applyNumberFormat="1" applyFont="1" applyBorder="1" applyAlignment="1">
      <alignment horizontal="center" vertical="center"/>
    </xf>
    <xf numFmtId="2" fontId="16" fillId="0" borderId="29" xfId="1" applyNumberFormat="1" applyFont="1" applyBorder="1" applyAlignment="1">
      <alignment horizontal="center" vertical="center"/>
    </xf>
    <xf numFmtId="2" fontId="16" fillId="0" borderId="30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hidden="1"/>
    </xf>
    <xf numFmtId="0" fontId="6" fillId="0" borderId="4" xfId="1" applyBorder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1" fillId="0" borderId="7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left"/>
      <protection hidden="1"/>
    </xf>
    <xf numFmtId="0" fontId="25" fillId="0" borderId="19" xfId="0" applyFont="1" applyBorder="1" applyAlignment="1" applyProtection="1">
      <alignment horizontal="right" vertical="center"/>
      <protection hidden="1"/>
    </xf>
    <xf numFmtId="0" fontId="23" fillId="0" borderId="3" xfId="0" applyFont="1" applyBorder="1" applyAlignment="1" applyProtection="1">
      <alignment horizontal="right" vertical="center"/>
      <protection hidden="1"/>
    </xf>
    <xf numFmtId="0" fontId="21" fillId="0" borderId="6" xfId="0" applyFont="1" applyBorder="1" applyAlignment="1" applyProtection="1">
      <alignment horizontal="right" vertical="center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hidden="1"/>
    </xf>
    <xf numFmtId="0" fontId="26" fillId="0" borderId="9" xfId="0" applyFont="1" applyBorder="1" applyAlignment="1" applyProtection="1">
      <alignment horizontal="center" vertical="center"/>
      <protection locked="0"/>
    </xf>
    <xf numFmtId="2" fontId="21" fillId="0" borderId="0" xfId="0" applyNumberFormat="1" applyFont="1" applyBorder="1" applyAlignment="1" applyProtection="1">
      <alignment horizontal="center" vertical="center"/>
      <protection hidden="1"/>
    </xf>
    <xf numFmtId="2" fontId="26" fillId="0" borderId="9" xfId="0" applyNumberFormat="1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 applyProtection="1">
      <alignment horizontal="center" vertical="center"/>
      <protection hidden="1"/>
    </xf>
    <xf numFmtId="0" fontId="6" fillId="0" borderId="36" xfId="1" applyBorder="1"/>
    <xf numFmtId="0" fontId="6" fillId="0" borderId="7" xfId="1" applyBorder="1" applyAlignment="1">
      <alignment horizontal="center" vertical="center"/>
    </xf>
    <xf numFmtId="1" fontId="6" fillId="0" borderId="7" xfId="1" applyNumberFormat="1" applyBorder="1" applyAlignment="1">
      <alignment horizontal="center" vertical="center"/>
    </xf>
    <xf numFmtId="0" fontId="6" fillId="0" borderId="7" xfId="1" applyBorder="1"/>
    <xf numFmtId="0" fontId="6" fillId="0" borderId="37" xfId="1" applyBorder="1"/>
    <xf numFmtId="0" fontId="14" fillId="6" borderId="1" xfId="1" applyFont="1" applyFill="1" applyBorder="1" applyAlignment="1">
      <alignment horizontal="center" vertical="center"/>
    </xf>
    <xf numFmtId="0" fontId="29" fillId="0" borderId="32" xfId="1" applyFont="1" applyBorder="1" applyAlignment="1">
      <alignment vertical="center"/>
    </xf>
    <xf numFmtId="0" fontId="9" fillId="0" borderId="38" xfId="1" applyFont="1" applyBorder="1" applyAlignment="1">
      <alignment vertical="center" wrapText="1"/>
    </xf>
    <xf numFmtId="0" fontId="6" fillId="0" borderId="23" xfId="1" applyBorder="1"/>
    <xf numFmtId="0" fontId="6" fillId="0" borderId="23" xfId="1" applyBorder="1" applyAlignment="1">
      <alignment horizontal="center" vertical="center"/>
    </xf>
    <xf numFmtId="1" fontId="6" fillId="0" borderId="23" xfId="1" applyNumberFormat="1" applyBorder="1" applyAlignment="1">
      <alignment horizontal="center" vertical="center"/>
    </xf>
    <xf numFmtId="0" fontId="6" fillId="0" borderId="0" xfId="1" applyBorder="1"/>
    <xf numFmtId="0" fontId="6" fillId="0" borderId="0" xfId="1" applyBorder="1" applyAlignment="1">
      <alignment horizontal="center" vertical="center"/>
    </xf>
    <xf numFmtId="1" fontId="6" fillId="0" borderId="0" xfId="1" applyNumberFormat="1" applyBorder="1" applyAlignment="1">
      <alignment horizontal="center" vertical="center"/>
    </xf>
    <xf numFmtId="1" fontId="28" fillId="0" borderId="4" xfId="1" applyNumberFormat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28" fillId="0" borderId="21" xfId="1" applyFont="1" applyBorder="1" applyAlignment="1">
      <alignment horizontal="center" vertical="center"/>
    </xf>
    <xf numFmtId="0" fontId="23" fillId="0" borderId="7" xfId="0" applyFont="1" applyBorder="1" applyAlignment="1" applyProtection="1">
      <alignment horizontal="center" vertical="center"/>
      <protection hidden="1"/>
    </xf>
    <xf numFmtId="0" fontId="23" fillId="0" borderId="8" xfId="0" applyFont="1" applyBorder="1" applyAlignment="1" applyProtection="1">
      <alignment horizontal="center" vertical="center"/>
      <protection hidden="1"/>
    </xf>
    <xf numFmtId="0" fontId="21" fillId="0" borderId="22" xfId="0" applyFont="1" applyBorder="1" applyAlignment="1" applyProtection="1">
      <alignment horizontal="left" vertical="center"/>
      <protection hidden="1"/>
    </xf>
    <xf numFmtId="0" fontId="21" fillId="0" borderId="23" xfId="0" applyFont="1" applyBorder="1" applyAlignment="1" applyProtection="1">
      <alignment horizontal="left" vertical="center"/>
      <protection hidden="1"/>
    </xf>
    <xf numFmtId="0" fontId="21" fillId="0" borderId="24" xfId="0" applyFont="1" applyBorder="1" applyAlignment="1" applyProtection="1">
      <alignment horizontal="left" vertical="center"/>
      <protection hidden="1"/>
    </xf>
    <xf numFmtId="0" fontId="21" fillId="0" borderId="32" xfId="0" applyFont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left" vertical="center"/>
      <protection hidden="1"/>
    </xf>
    <xf numFmtId="0" fontId="21" fillId="0" borderId="33" xfId="0" applyFont="1" applyBorder="1" applyAlignment="1" applyProtection="1">
      <alignment horizontal="left" vertical="center"/>
      <protection hidden="1"/>
    </xf>
    <xf numFmtId="0" fontId="21" fillId="0" borderId="17" xfId="0" applyFont="1" applyBorder="1" applyAlignment="1" applyProtection="1">
      <alignment horizontal="left" vertical="center"/>
      <protection hidden="1"/>
    </xf>
    <xf numFmtId="0" fontId="21" fillId="0" borderId="34" xfId="0" applyFont="1" applyBorder="1" applyAlignment="1" applyProtection="1">
      <alignment horizontal="left" vertical="center"/>
      <protection hidden="1"/>
    </xf>
    <xf numFmtId="0" fontId="21" fillId="0" borderId="35" xfId="0" applyFont="1" applyBorder="1" applyAlignment="1" applyProtection="1">
      <alignment horizontal="left" vertical="center"/>
      <protection hidden="1"/>
    </xf>
    <xf numFmtId="0" fontId="23" fillId="0" borderId="1" xfId="0" applyFont="1" applyBorder="1" applyAlignment="1" applyProtection="1">
      <alignment horizontal="center" vertical="center"/>
      <protection hidden="1"/>
    </xf>
    <xf numFmtId="0" fontId="23" fillId="0" borderId="2" xfId="0" applyFont="1" applyBorder="1" applyAlignment="1" applyProtection="1">
      <alignment horizontal="center" vertical="center"/>
      <protection hidden="1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2" fontId="26" fillId="0" borderId="4" xfId="0" applyNumberFormat="1" applyFont="1" applyBorder="1" applyAlignment="1" applyProtection="1">
      <alignment horizontal="center" vertical="center"/>
      <protection locked="0"/>
    </xf>
    <xf numFmtId="2" fontId="26" fillId="0" borderId="5" xfId="0" applyNumberFormat="1" applyFont="1" applyBorder="1" applyAlignment="1" applyProtection="1">
      <alignment horizontal="center" vertical="center"/>
      <protection locked="0"/>
    </xf>
    <xf numFmtId="0" fontId="31" fillId="0" borderId="33" xfId="1" applyFont="1" applyBorder="1" applyAlignment="1">
      <alignment horizontal="center" vertical="center" wrapText="1"/>
    </xf>
    <xf numFmtId="0" fontId="31" fillId="0" borderId="39" xfId="1" applyFont="1" applyBorder="1" applyAlignment="1">
      <alignment horizontal="center" vertical="center" wrapText="1"/>
    </xf>
    <xf numFmtId="1" fontId="30" fillId="0" borderId="0" xfId="1" applyNumberFormat="1" applyFont="1" applyBorder="1" applyAlignment="1">
      <alignment horizontal="center" vertical="center"/>
    </xf>
    <xf numFmtId="1" fontId="30" fillId="0" borderId="15" xfId="1" applyNumberFormat="1" applyFont="1" applyBorder="1" applyAlignment="1">
      <alignment horizontal="center" vertical="center"/>
    </xf>
    <xf numFmtId="0" fontId="31" fillId="0" borderId="0" xfId="1" applyFont="1" applyBorder="1" applyAlignment="1">
      <alignment horizontal="center" vertical="center" wrapText="1"/>
    </xf>
    <xf numFmtId="0" fontId="31" fillId="0" borderId="15" xfId="1" applyFont="1" applyBorder="1" applyAlignment="1">
      <alignment horizontal="center" vertical="center" wrapText="1"/>
    </xf>
    <xf numFmtId="1" fontId="31" fillId="0" borderId="0" xfId="1" applyNumberFormat="1" applyFont="1" applyBorder="1" applyAlignment="1">
      <alignment horizontal="center" vertical="center" wrapText="1"/>
    </xf>
    <xf numFmtId="0" fontId="29" fillId="0" borderId="22" xfId="1" applyFont="1" applyBorder="1" applyAlignment="1">
      <alignment horizontal="center" vertical="center"/>
    </xf>
    <xf numFmtId="0" fontId="29" fillId="0" borderId="23" xfId="1" applyFont="1" applyBorder="1" applyAlignment="1">
      <alignment horizontal="center" vertical="center"/>
    </xf>
    <xf numFmtId="0" fontId="29" fillId="0" borderId="24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6" fillId="6" borderId="27" xfId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2" fillId="0" borderId="0" xfId="3" applyAlignment="1">
      <alignment vertical="center"/>
    </xf>
    <xf numFmtId="0" fontId="32" fillId="0" borderId="0" xfId="3" applyAlignment="1">
      <alignment horizontal="center" vertical="center"/>
    </xf>
    <xf numFmtId="164" fontId="32" fillId="0" borderId="0" xfId="3" applyNumberFormat="1" applyAlignment="1">
      <alignment vertical="center"/>
    </xf>
    <xf numFmtId="0" fontId="32" fillId="0" borderId="0" xfId="3" applyAlignment="1">
      <alignment horizontal="right" vertical="center"/>
    </xf>
    <xf numFmtId="0" fontId="33" fillId="0" borderId="0" xfId="3" applyFont="1" applyAlignment="1">
      <alignment horizontal="center" vertical="center"/>
    </xf>
    <xf numFmtId="164" fontId="33" fillId="0" borderId="0" xfId="3" applyNumberFormat="1" applyFont="1" applyAlignment="1">
      <alignment horizontal="center" vertical="center"/>
    </xf>
    <xf numFmtId="164" fontId="32" fillId="0" borderId="0" xfId="3" applyNumberFormat="1" applyAlignment="1">
      <alignment horizontal="center" vertical="center"/>
    </xf>
    <xf numFmtId="0" fontId="32" fillId="0" borderId="0" xfId="3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123824</xdr:colOff>
      <xdr:row>7</xdr:row>
      <xdr:rowOff>361950</xdr:rowOff>
    </xdr:to>
    <xdr:pic>
      <xdr:nvPicPr>
        <xdr:cNvPr id="2" name="Picture 1" descr="Titchaîne.jpg"/>
        <xdr:cNvPicPr preferRelativeResize="0"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238999" cy="3028950"/>
        </a:xfrm>
        <a:prstGeom prst="rect">
          <a:avLst/>
        </a:prstGeom>
        <a:scene3d>
          <a:camera prst="orthographicFront"/>
          <a:lightRig rig="threePt" dir="t">
            <a:rot lat="0" lon="0" rev="4200000"/>
          </a:lightRig>
        </a:scene3d>
      </xdr:spPr>
    </xdr:pic>
    <xdr:clientData/>
  </xdr:twoCellAnchor>
  <xdr:twoCellAnchor>
    <xdr:from>
      <xdr:col>1</xdr:col>
      <xdr:colOff>904875</xdr:colOff>
      <xdr:row>17</xdr:row>
      <xdr:rowOff>19049</xdr:rowOff>
    </xdr:from>
    <xdr:to>
      <xdr:col>9</xdr:col>
      <xdr:colOff>381000</xdr:colOff>
      <xdr:row>21</xdr:row>
      <xdr:rowOff>210134</xdr:rowOff>
    </xdr:to>
    <xdr:pic>
      <xdr:nvPicPr>
        <xdr:cNvPr id="1025" name="Picture 4" descr="http://www.celtismar.com/Images/Equation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00600" y="6496049"/>
          <a:ext cx="2362200" cy="11816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DDEC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showGridLines="0" topLeftCell="A11" workbookViewId="0">
      <selection activeCell="J13" sqref="J13"/>
    </sheetView>
  </sheetViews>
  <sheetFormatPr defaultColWidth="8.85546875" defaultRowHeight="15"/>
  <cols>
    <col min="1" max="1" width="58.42578125" style="18" bestFit="1" customWidth="1"/>
    <col min="2" max="2" width="18.28515625" style="18" bestFit="1" customWidth="1"/>
    <col min="3" max="6" width="2.7109375" style="19" customWidth="1"/>
    <col min="7" max="7" width="2.7109375" style="18" customWidth="1"/>
    <col min="8" max="8" width="15.7109375" style="18" customWidth="1"/>
    <col min="9" max="9" width="2.5703125" style="18" customWidth="1"/>
    <col min="10" max="10" width="15.7109375" style="18" customWidth="1"/>
    <col min="11" max="11" width="2.7109375" style="18" customWidth="1"/>
    <col min="12" max="12" width="15.7109375" style="18" customWidth="1"/>
    <col min="13" max="16384" width="8.85546875" style="18"/>
  </cols>
  <sheetData>
    <row r="1" spans="1:18" ht="30" customHeight="1"/>
    <row r="2" spans="1:18" ht="30" customHeight="1"/>
    <row r="3" spans="1:18" ht="30" customHeight="1"/>
    <row r="4" spans="1:18" ht="30" customHeight="1"/>
    <row r="5" spans="1:18" ht="30" customHeight="1"/>
    <row r="6" spans="1:18" ht="30" customHeight="1"/>
    <row r="7" spans="1:18" ht="30" customHeight="1"/>
    <row r="8" spans="1:18" ht="30" customHeight="1"/>
    <row r="9" spans="1:18" ht="30" customHeight="1" thickBot="1">
      <c r="A9" s="22" t="s">
        <v>30</v>
      </c>
      <c r="B9" s="84">
        <v>3</v>
      </c>
      <c r="C9" s="25" t="s">
        <v>31</v>
      </c>
      <c r="D9" s="25">
        <f>(B10+B12)/10</f>
        <v>1.8399999999999999</v>
      </c>
      <c r="E9" s="25" t="s">
        <v>45</v>
      </c>
      <c r="F9" s="25">
        <f>2*(B11-B12)/10*PI()*(B10/10)^2/4</f>
        <v>1.3672211228422781</v>
      </c>
    </row>
    <row r="10" spans="1:18" ht="30" customHeight="1" thickTop="1" thickBot="1">
      <c r="A10" s="23" t="s">
        <v>32</v>
      </c>
      <c r="B10" s="85">
        <v>8</v>
      </c>
      <c r="C10" s="25" t="s">
        <v>34</v>
      </c>
      <c r="D10" s="25">
        <f>PI()*(B10/10)^2/4</f>
        <v>0.50265482457436694</v>
      </c>
      <c r="E10" s="25" t="s">
        <v>46</v>
      </c>
      <c r="F10" s="25">
        <f>PI()*((B10+B12)/10)*(PI()*(B10/10)^2/4)+2*(B11-B12)/10*PI()*(B10/10)^2/4</f>
        <v>4.2728326585229848</v>
      </c>
    </row>
    <row r="11" spans="1:18" ht="30" customHeight="1" thickTop="1">
      <c r="A11" s="20" t="s">
        <v>37</v>
      </c>
      <c r="B11" s="24">
        <f>B9*B10</f>
        <v>24</v>
      </c>
      <c r="C11" s="25" t="s">
        <v>47</v>
      </c>
      <c r="D11" s="25">
        <f>PI()*((B10+B12)/10)*(PI()*(B10/10)^2/4)</f>
        <v>2.9056115356807068</v>
      </c>
      <c r="E11" s="25" t="s">
        <v>38</v>
      </c>
      <c r="F11" s="25">
        <f>(PI()*((B10+B12)/10)*(PI()*(B10/10)^2/4)+2*(B11-B12)/10*PI()*(B10/10)^2/4)*B13</f>
        <v>34.695401187206635</v>
      </c>
    </row>
    <row r="12" spans="1:18" ht="30" customHeight="1" thickBot="1">
      <c r="A12" s="20" t="s">
        <v>33</v>
      </c>
      <c r="B12" s="21">
        <f>IF(B9=3,1.3*B10,IF(B9=3.5,1.4*B10,""))</f>
        <v>10.4</v>
      </c>
      <c r="C12" s="25" t="s">
        <v>35</v>
      </c>
      <c r="D12" s="25">
        <f>PI()*((B10+B12)/10)*(PI()*(B10/10)^2/4)*B13</f>
        <v>23.593565669727337</v>
      </c>
      <c r="E12" s="25" t="s">
        <v>41</v>
      </c>
      <c r="F12" s="25">
        <f>1000/(B9*B10)</f>
        <v>41.666666666666664</v>
      </c>
    </row>
    <row r="13" spans="1:18" ht="30" customHeight="1" thickTop="1" thickBot="1">
      <c r="A13" s="23" t="s">
        <v>36</v>
      </c>
      <c r="B13" s="97">
        <v>8.1199999999999992</v>
      </c>
      <c r="C13" s="25" t="s">
        <v>40</v>
      </c>
      <c r="D13" s="25">
        <f>(B11-B12)/10</f>
        <v>1.3599999999999999</v>
      </c>
      <c r="E13" s="25" t="s">
        <v>39</v>
      </c>
      <c r="F13" s="25">
        <f>(((PI()*((B10+B12)/10)*(PI()*(B10/10)^2/4)+2*(B11-B12)/10*PI()*(B10/10)^2/4)*B13)*F12)/1000</f>
        <v>1.4456417161336097</v>
      </c>
    </row>
    <row r="14" spans="1:18" ht="30" customHeight="1" thickTop="1" thickBot="1">
      <c r="A14" s="23" t="s">
        <v>42</v>
      </c>
      <c r="B14" s="97">
        <v>8</v>
      </c>
      <c r="C14" s="25"/>
      <c r="D14" s="25"/>
      <c r="E14" s="25" t="s">
        <v>43</v>
      </c>
      <c r="F14" s="25">
        <f>(B14*(1000/(B9*B10))*((PI()*((B10+B12)/10)*(PI()*(B10/10)^2/4)+2*(B11-B12)/10*PI()*(B10/10)^2/4)*B13))/1000</f>
        <v>11.565133729068878</v>
      </c>
    </row>
    <row r="15" spans="1:18" ht="30" customHeight="1" thickTop="1">
      <c r="A15" s="20" t="s">
        <v>43</v>
      </c>
      <c r="B15" s="24" t="str">
        <f>ROUND((B14*(1000/(B9*B10))*((PI()*((B10+B12)/10)*(PI()*(B10/10)^2/4)+2*(B11-B12)/10*PI()*(B10/10)^2/4)*B13))/1000,2)&amp;" KG"</f>
        <v>11,57 KG</v>
      </c>
      <c r="C15" s="25"/>
      <c r="D15" s="25"/>
      <c r="E15" s="25"/>
      <c r="F15" s="25"/>
      <c r="O15" s="80"/>
      <c r="P15" s="80"/>
      <c r="Q15" s="80"/>
      <c r="R15" s="80"/>
    </row>
    <row r="16" spans="1:18" ht="30" customHeight="1">
      <c r="A16" s="26" t="s">
        <v>44</v>
      </c>
      <c r="B16" s="27" t="str">
        <f>ROUND((B14*(1000/(B9*B10))*((PI()*((B10+B12)/10)*(PI()*(B10/10)^2/4)+2*(B11-B12)/10*PI()*(B10/10)^2/4)*B13))/1000-((B14*(1000/(B9*B10))*((PI()*((B10+B12)/10)*(PI()*(B10/10)^2/4)+2*(B11-B12)/10*PI()*(B10/10)^2/4)*B13))/1000/B13*1.04),2)&amp;" KG"</f>
        <v>10,08 KG</v>
      </c>
      <c r="C16" s="25"/>
      <c r="D16" s="25"/>
      <c r="E16" s="25"/>
      <c r="F16" s="25"/>
    </row>
    <row r="17" spans="1:13" ht="30" customHeight="1" thickBot="1">
      <c r="A17" s="28" t="s">
        <v>49</v>
      </c>
      <c r="B17" s="21">
        <f>IF(B10&lt;10,ROUND((2*PI()*((B10)^2)/4)*4,2),IF(B10&gt;=10,ROUND((2*PI()*((B10)^2)/4)*6,2)))</f>
        <v>402.12</v>
      </c>
    </row>
    <row r="18" spans="1:13" ht="20.100000000000001" customHeight="1" thickTop="1">
      <c r="A18" s="117" t="s">
        <v>81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9"/>
    </row>
    <row r="19" spans="1:13" ht="20.100000000000001" customHeight="1">
      <c r="A19" s="12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2"/>
    </row>
    <row r="20" spans="1:13" ht="20.100000000000001" customHeight="1">
      <c r="A20" s="12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2"/>
    </row>
    <row r="21" spans="1:13" ht="20.100000000000001" customHeight="1">
      <c r="A21" s="120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2"/>
    </row>
    <row r="22" spans="1:13" ht="20.100000000000001" customHeight="1" thickBot="1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5"/>
    </row>
    <row r="23" spans="1:13" ht="20.100000000000001" customHeight="1" thickTop="1">
      <c r="A23" s="86" t="s">
        <v>75</v>
      </c>
    </row>
    <row r="24" spans="1:13" ht="20.100000000000001" customHeight="1">
      <c r="A24" s="86" t="s">
        <v>76</v>
      </c>
    </row>
    <row r="25" spans="1:13" ht="20.100000000000001" customHeight="1">
      <c r="A25" s="86" t="s">
        <v>74</v>
      </c>
    </row>
    <row r="26" spans="1:13" ht="26.25">
      <c r="A26" s="87" t="s">
        <v>82</v>
      </c>
      <c r="B26" s="90">
        <v>6</v>
      </c>
      <c r="C26" s="126">
        <v>8</v>
      </c>
      <c r="D26" s="126"/>
      <c r="E26" s="126"/>
      <c r="F26" s="127"/>
      <c r="G26" s="81"/>
      <c r="H26" s="91">
        <v>10</v>
      </c>
      <c r="I26" s="81"/>
      <c r="J26" s="91">
        <v>12</v>
      </c>
      <c r="K26" s="81"/>
      <c r="L26" s="91">
        <v>14</v>
      </c>
    </row>
    <row r="27" spans="1:13" ht="26.25">
      <c r="A27" s="88" t="s">
        <v>77</v>
      </c>
      <c r="B27" s="92">
        <v>0.15</v>
      </c>
      <c r="C27" s="128">
        <v>1.45</v>
      </c>
      <c r="D27" s="128"/>
      <c r="E27" s="128"/>
      <c r="F27" s="129"/>
      <c r="G27" s="93"/>
      <c r="H27" s="94">
        <v>2.25</v>
      </c>
      <c r="I27" s="93"/>
      <c r="J27" s="94">
        <v>3.24</v>
      </c>
      <c r="K27" s="93"/>
      <c r="L27" s="94">
        <v>4.3899999999999997</v>
      </c>
    </row>
    <row r="28" spans="1:13" ht="26.25">
      <c r="A28" s="88" t="s">
        <v>78</v>
      </c>
      <c r="B28" s="92">
        <v>30</v>
      </c>
      <c r="C28" s="128">
        <v>40</v>
      </c>
      <c r="D28" s="128"/>
      <c r="E28" s="128"/>
      <c r="F28" s="129"/>
      <c r="G28" s="81"/>
      <c r="H28" s="94">
        <v>40</v>
      </c>
      <c r="I28" s="81"/>
      <c r="J28" s="94">
        <v>40</v>
      </c>
      <c r="K28" s="81"/>
      <c r="L28" s="94">
        <v>40</v>
      </c>
    </row>
    <row r="29" spans="1:13" ht="26.25">
      <c r="A29" s="88" t="s">
        <v>79</v>
      </c>
      <c r="B29" s="92">
        <v>0.15</v>
      </c>
      <c r="C29" s="130">
        <v>0.25</v>
      </c>
      <c r="D29" s="130"/>
      <c r="E29" s="130"/>
      <c r="F29" s="131"/>
      <c r="G29" s="95"/>
      <c r="H29" s="96">
        <v>0.32</v>
      </c>
      <c r="I29" s="95"/>
      <c r="J29" s="96">
        <v>0.4</v>
      </c>
      <c r="K29" s="95"/>
      <c r="L29" s="96">
        <v>0.5</v>
      </c>
    </row>
    <row r="30" spans="1:13" ht="26.25">
      <c r="A30" s="89" t="s">
        <v>80</v>
      </c>
      <c r="B30" s="82">
        <f>ROUND(B27*(((B28/2)^2+B29^2)/(2*B29)),2)</f>
        <v>112.51</v>
      </c>
      <c r="C30" s="115">
        <f>ROUND(C27*(((C28/2)^2+C29^2)/(2*C29)),2)</f>
        <v>1160.18</v>
      </c>
      <c r="D30" s="115"/>
      <c r="E30" s="115"/>
      <c r="F30" s="116"/>
      <c r="G30" s="81"/>
      <c r="H30" s="83">
        <f>ROUND(H27*(((H28/2)^2+H29^2)/(2*H29)),2)</f>
        <v>1406.61</v>
      </c>
      <c r="I30" s="81"/>
      <c r="J30" s="83">
        <f>ROUND(J27*(((J28/2)^2+J29^2)/(2*J29)),2)</f>
        <v>1620.65</v>
      </c>
      <c r="K30" s="81"/>
      <c r="L30" s="83">
        <f>ROUND(L27*(((L28/2)^2+L29^2)/(2*L29)),2)</f>
        <v>1757.1</v>
      </c>
      <c r="M30" s="78"/>
    </row>
  </sheetData>
  <sheetProtection password="F619" sheet="1" objects="1" scenarios="1"/>
  <mergeCells count="6">
    <mergeCell ref="C30:F30"/>
    <mergeCell ref="A18:L22"/>
    <mergeCell ref="C26:F26"/>
    <mergeCell ref="C27:F27"/>
    <mergeCell ref="C28:F28"/>
    <mergeCell ref="C29:F29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V42"/>
  <sheetViews>
    <sheetView showGridLines="0" topLeftCell="J1" workbookViewId="0">
      <selection activeCell="V14" sqref="V14"/>
    </sheetView>
  </sheetViews>
  <sheetFormatPr defaultColWidth="8.85546875" defaultRowHeight="12.75"/>
  <cols>
    <col min="1" max="1" width="24.42578125" style="30" customWidth="1"/>
    <col min="2" max="2" width="14.140625" style="30" customWidth="1"/>
    <col min="3" max="3" width="14.140625" style="30" hidden="1" customWidth="1"/>
    <col min="4" max="4" width="14.140625" style="30" customWidth="1"/>
    <col min="5" max="5" width="14.140625" style="30" hidden="1" customWidth="1"/>
    <col min="6" max="6" width="14.140625" style="30" customWidth="1"/>
    <col min="7" max="7" width="14.140625" style="30" hidden="1" customWidth="1"/>
    <col min="8" max="8" width="14.140625" style="30" customWidth="1"/>
    <col min="9" max="9" width="3" style="30" hidden="1" customWidth="1"/>
    <col min="10" max="10" width="14.140625" style="30" customWidth="1"/>
    <col min="11" max="11" width="14.140625" style="30" hidden="1" customWidth="1"/>
    <col min="12" max="12" width="3.28515625" style="30" customWidth="1"/>
    <col min="13" max="13" width="38.5703125" style="30" bestFit="1" customWidth="1"/>
    <col min="14" max="14" width="8.85546875" style="30"/>
    <col min="15" max="15" width="9.7109375" style="30" customWidth="1"/>
    <col min="16" max="20" width="8.85546875" style="30"/>
    <col min="21" max="21" width="10.5703125" style="30" customWidth="1"/>
    <col min="22" max="22" width="12.42578125" style="30" customWidth="1"/>
    <col min="23" max="16384" width="8.85546875" style="30"/>
  </cols>
  <sheetData>
    <row r="1" spans="1:22" ht="23.1" customHeight="1" thickTop="1">
      <c r="A1" s="29"/>
      <c r="B1" s="145" t="s">
        <v>50</v>
      </c>
      <c r="C1" s="146"/>
      <c r="D1" s="146"/>
      <c r="E1" s="146"/>
      <c r="F1" s="146"/>
      <c r="G1" s="146"/>
      <c r="H1" s="146"/>
      <c r="I1" s="146"/>
      <c r="J1" s="147"/>
      <c r="M1" s="139" t="s">
        <v>51</v>
      </c>
      <c r="N1" s="140"/>
      <c r="O1" s="140"/>
      <c r="P1" s="140"/>
      <c r="Q1" s="140"/>
      <c r="R1" s="140"/>
      <c r="S1" s="140"/>
      <c r="T1" s="140"/>
      <c r="U1" s="140"/>
      <c r="V1" s="141"/>
    </row>
    <row r="2" spans="1:22" ht="23.1" customHeight="1">
      <c r="A2" s="29"/>
      <c r="B2" s="31">
        <v>4</v>
      </c>
      <c r="C2" s="32"/>
      <c r="D2" s="33">
        <v>7</v>
      </c>
      <c r="E2" s="32"/>
      <c r="F2" s="33">
        <v>9</v>
      </c>
      <c r="G2" s="32"/>
      <c r="H2" s="33">
        <v>11</v>
      </c>
      <c r="I2" s="32"/>
      <c r="J2" s="34">
        <v>12</v>
      </c>
      <c r="M2" s="104"/>
      <c r="N2" s="136" t="s">
        <v>83</v>
      </c>
      <c r="O2" s="134" t="s">
        <v>52</v>
      </c>
      <c r="P2" s="136" t="s">
        <v>84</v>
      </c>
      <c r="Q2" s="134" t="s">
        <v>52</v>
      </c>
      <c r="R2" s="136" t="s">
        <v>85</v>
      </c>
      <c r="S2" s="138" t="s">
        <v>86</v>
      </c>
      <c r="T2" s="136" t="s">
        <v>53</v>
      </c>
      <c r="U2" s="136" t="s">
        <v>54</v>
      </c>
      <c r="V2" s="132" t="s">
        <v>55</v>
      </c>
    </row>
    <row r="3" spans="1:22" ht="23.1" customHeight="1">
      <c r="A3" s="35" t="s">
        <v>56</v>
      </c>
      <c r="B3" s="36">
        <v>15</v>
      </c>
      <c r="C3" s="37"/>
      <c r="D3" s="36">
        <v>30</v>
      </c>
      <c r="E3" s="37"/>
      <c r="F3" s="36">
        <v>42</v>
      </c>
      <c r="G3" s="37"/>
      <c r="H3" s="36">
        <v>60</v>
      </c>
      <c r="I3" s="37"/>
      <c r="J3" s="38">
        <v>120</v>
      </c>
      <c r="M3" s="105"/>
      <c r="N3" s="136"/>
      <c r="O3" s="135"/>
      <c r="P3" s="137"/>
      <c r="Q3" s="135"/>
      <c r="R3" s="137"/>
      <c r="S3" s="138"/>
      <c r="T3" s="137"/>
      <c r="U3" s="137"/>
      <c r="V3" s="133"/>
    </row>
    <row r="4" spans="1:22" ht="23.1" customHeight="1" thickBot="1">
      <c r="A4" s="39" t="s">
        <v>57</v>
      </c>
      <c r="B4" s="40">
        <f>B3*1.852</f>
        <v>27.78</v>
      </c>
      <c r="C4" s="40"/>
      <c r="D4" s="40">
        <f>D3*1.852</f>
        <v>55.56</v>
      </c>
      <c r="E4" s="40"/>
      <c r="F4" s="40">
        <f>F3*1.852</f>
        <v>77.784000000000006</v>
      </c>
      <c r="G4" s="40"/>
      <c r="H4" s="40">
        <f>H3*1.852</f>
        <v>111.12</v>
      </c>
      <c r="I4" s="40"/>
      <c r="J4" s="41">
        <f>J3*1.852</f>
        <v>222.24</v>
      </c>
      <c r="M4" s="42" t="s">
        <v>58</v>
      </c>
      <c r="N4" s="79">
        <v>590</v>
      </c>
      <c r="O4" s="43">
        <f>RANK(N4,$N$4:$N$14)</f>
        <v>8</v>
      </c>
      <c r="P4" s="79">
        <v>446</v>
      </c>
      <c r="Q4" s="43">
        <f>RANK(P4,$P$4:$P$14)</f>
        <v>8</v>
      </c>
      <c r="R4" s="79">
        <v>800</v>
      </c>
      <c r="S4" s="43">
        <f t="shared" ref="S4:S14" si="0">(N4+P4)/2</f>
        <v>518</v>
      </c>
      <c r="T4" s="79">
        <f>RANK(S4,$S$4:$S$14)</f>
        <v>9</v>
      </c>
      <c r="U4" s="79">
        <f>1/((O4+Q4)/2)</f>
        <v>0.125</v>
      </c>
      <c r="V4" s="44">
        <f>RANK(U4,$U$4:$U$14)</f>
        <v>8</v>
      </c>
    </row>
    <row r="5" spans="1:22" ht="17.100000000000001" customHeight="1" thickTop="1">
      <c r="A5" s="45" t="s">
        <v>59</v>
      </c>
      <c r="B5" s="142" t="s">
        <v>60</v>
      </c>
      <c r="C5" s="143"/>
      <c r="D5" s="143"/>
      <c r="E5" s="143"/>
      <c r="F5" s="143"/>
      <c r="G5" s="143"/>
      <c r="H5" s="143"/>
      <c r="I5" s="143"/>
      <c r="J5" s="144"/>
      <c r="M5" s="42" t="s">
        <v>61</v>
      </c>
      <c r="N5" s="79">
        <v>1263</v>
      </c>
      <c r="O5" s="43">
        <f t="shared" ref="O5:O14" si="1">RANK(N5,$N$4:$N$14)</f>
        <v>3</v>
      </c>
      <c r="P5" s="79">
        <v>1058</v>
      </c>
      <c r="Q5" s="43">
        <f t="shared" ref="Q5:Q14" si="2">RANK(P5,$P$4:$P$14)</f>
        <v>1</v>
      </c>
      <c r="R5" s="79">
        <v>900</v>
      </c>
      <c r="S5" s="43">
        <f t="shared" si="0"/>
        <v>1160.5</v>
      </c>
      <c r="T5" s="79">
        <f t="shared" ref="T5:T14" si="3">RANK(S5,$S$4:$S$14)</f>
        <v>3</v>
      </c>
      <c r="U5" s="79">
        <f t="shared" ref="U5:U14" si="4">1/((O5+Q5)/2)</f>
        <v>0.5</v>
      </c>
      <c r="V5" s="44">
        <f t="shared" ref="V5:V14" si="5">RANK(U5,$U$4:$U$14)</f>
        <v>1</v>
      </c>
    </row>
    <row r="6" spans="1:22" ht="17.100000000000001" customHeight="1">
      <c r="A6" s="46">
        <v>4.5</v>
      </c>
      <c r="B6" s="47">
        <v>25</v>
      </c>
      <c r="C6" s="48">
        <f>B6/$A$6</f>
        <v>5.5555555555555554</v>
      </c>
      <c r="D6" s="49">
        <v>100</v>
      </c>
      <c r="E6" s="48">
        <f>D6/$A$6</f>
        <v>22.222222222222221</v>
      </c>
      <c r="F6" s="49">
        <v>220</v>
      </c>
      <c r="G6" s="48">
        <f>F6/$A$6</f>
        <v>48.888888888888886</v>
      </c>
      <c r="H6" s="49">
        <v>450</v>
      </c>
      <c r="I6" s="48">
        <f>H6/$A$6</f>
        <v>100</v>
      </c>
      <c r="J6" s="50">
        <v>1800</v>
      </c>
      <c r="K6" s="48">
        <f>J6/$A$6</f>
        <v>400</v>
      </c>
      <c r="M6" s="42" t="s">
        <v>62</v>
      </c>
      <c r="N6" s="79">
        <v>450</v>
      </c>
      <c r="O6" s="43">
        <f t="shared" si="1"/>
        <v>9</v>
      </c>
      <c r="P6" s="79">
        <v>662</v>
      </c>
      <c r="Q6" s="43">
        <f t="shared" si="2"/>
        <v>5</v>
      </c>
      <c r="R6" s="79">
        <v>950</v>
      </c>
      <c r="S6" s="43">
        <f t="shared" si="0"/>
        <v>556</v>
      </c>
      <c r="T6" s="79">
        <f t="shared" si="3"/>
        <v>8</v>
      </c>
      <c r="U6" s="79">
        <f t="shared" si="4"/>
        <v>0.14285714285714285</v>
      </c>
      <c r="V6" s="44">
        <f t="shared" si="5"/>
        <v>7</v>
      </c>
    </row>
    <row r="7" spans="1:22" ht="17.100000000000001" customHeight="1">
      <c r="A7" s="51">
        <f>A6+0.5</f>
        <v>5</v>
      </c>
      <c r="B7" s="52">
        <f>A7*C7</f>
        <v>30.555555555555554</v>
      </c>
      <c r="C7" s="53">
        <f>MEDIAN(C6,C9)</f>
        <v>6.1111111111111107</v>
      </c>
      <c r="D7" s="54">
        <f>C7*E7</f>
        <v>149.38271604938271</v>
      </c>
      <c r="E7" s="53">
        <f>MEDIAN(E6,E9)</f>
        <v>24.444444444444443</v>
      </c>
      <c r="F7" s="54">
        <f>A7*G7</f>
        <v>255.55555555555557</v>
      </c>
      <c r="G7" s="53">
        <f>MEDIAN(G6,G9)</f>
        <v>51.111111111111114</v>
      </c>
      <c r="H7" s="54">
        <f>A7*I7</f>
        <v>520.83333333333326</v>
      </c>
      <c r="I7" s="53">
        <f>MEDIAN(I6,I9)</f>
        <v>104.16666666666666</v>
      </c>
      <c r="J7" s="55">
        <f>A7*K7</f>
        <v>2083.333333333333</v>
      </c>
      <c r="K7" s="53">
        <f>MEDIAN(K6,K9)</f>
        <v>416.66666666666663</v>
      </c>
      <c r="M7" s="42" t="s">
        <v>63</v>
      </c>
      <c r="N7" s="79">
        <v>1138</v>
      </c>
      <c r="O7" s="43">
        <f t="shared" si="1"/>
        <v>4</v>
      </c>
      <c r="P7" s="79">
        <v>999</v>
      </c>
      <c r="Q7" s="43">
        <f t="shared" si="2"/>
        <v>2</v>
      </c>
      <c r="R7" s="79">
        <v>700</v>
      </c>
      <c r="S7" s="43">
        <f t="shared" si="0"/>
        <v>1068.5</v>
      </c>
      <c r="T7" s="79">
        <f t="shared" si="3"/>
        <v>4</v>
      </c>
      <c r="U7" s="79">
        <f t="shared" si="4"/>
        <v>0.33333333333333331</v>
      </c>
      <c r="V7" s="44">
        <f t="shared" si="5"/>
        <v>3</v>
      </c>
    </row>
    <row r="8" spans="1:22" ht="17.100000000000001" customHeight="1">
      <c r="A8" s="51">
        <f t="shared" ref="A8:A39" si="6">A7+0.5</f>
        <v>5.5</v>
      </c>
      <c r="B8" s="52">
        <f>A8*C8</f>
        <v>35.138888888888893</v>
      </c>
      <c r="C8" s="53">
        <f>MEDIAN(C7,C9)</f>
        <v>6.3888888888888893</v>
      </c>
      <c r="D8" s="54">
        <f>A8*E8</f>
        <v>144.22222222222223</v>
      </c>
      <c r="E8" s="53">
        <f>MEDIAN(E7,E10)</f>
        <v>26.222222222222221</v>
      </c>
      <c r="F8" s="54">
        <f>A8*G8</f>
        <v>294.55555555555554</v>
      </c>
      <c r="G8" s="53">
        <f>MEDIAN(G7,G10)</f>
        <v>53.555555555555557</v>
      </c>
      <c r="H8" s="54">
        <f>A8*I8</f>
        <v>596.75</v>
      </c>
      <c r="I8" s="53">
        <f>MEDIAN(I7,I10)</f>
        <v>108.5</v>
      </c>
      <c r="J8" s="55">
        <f>A8*K8</f>
        <v>2392.5</v>
      </c>
      <c r="K8" s="53">
        <f>MEDIAN(K7,K10)</f>
        <v>435</v>
      </c>
      <c r="M8" s="42" t="s">
        <v>64</v>
      </c>
      <c r="N8" s="79">
        <v>1076</v>
      </c>
      <c r="O8" s="43">
        <f t="shared" si="1"/>
        <v>5</v>
      </c>
      <c r="P8" s="79">
        <v>631</v>
      </c>
      <c r="Q8" s="43">
        <f t="shared" si="2"/>
        <v>6</v>
      </c>
      <c r="R8" s="79">
        <v>900</v>
      </c>
      <c r="S8" s="43">
        <f t="shared" si="0"/>
        <v>853.5</v>
      </c>
      <c r="T8" s="79">
        <f t="shared" si="3"/>
        <v>6</v>
      </c>
      <c r="U8" s="79">
        <f t="shared" si="4"/>
        <v>0.18181818181818182</v>
      </c>
      <c r="V8" s="44">
        <f t="shared" si="5"/>
        <v>6</v>
      </c>
    </row>
    <row r="9" spans="1:22" ht="17.100000000000001" customHeight="1">
      <c r="A9" s="46">
        <f t="shared" si="6"/>
        <v>6</v>
      </c>
      <c r="B9" s="52">
        <v>40</v>
      </c>
      <c r="C9" s="53">
        <f>B9/$A$9</f>
        <v>6.666666666666667</v>
      </c>
      <c r="D9" s="54">
        <v>160</v>
      </c>
      <c r="E9" s="53">
        <f>D9/$A$9</f>
        <v>26.666666666666668</v>
      </c>
      <c r="F9" s="54">
        <v>320</v>
      </c>
      <c r="G9" s="53">
        <f>F9/$A$9</f>
        <v>53.333333333333336</v>
      </c>
      <c r="H9" s="54">
        <v>650</v>
      </c>
      <c r="I9" s="53">
        <f>H9/$A$9</f>
        <v>108.33333333333333</v>
      </c>
      <c r="J9" s="55">
        <v>2600</v>
      </c>
      <c r="K9" s="53">
        <f>J9/$A$9</f>
        <v>433.33333333333331</v>
      </c>
      <c r="M9" s="42" t="s">
        <v>65</v>
      </c>
      <c r="N9" s="79">
        <v>853</v>
      </c>
      <c r="O9" s="43">
        <f t="shared" si="1"/>
        <v>7</v>
      </c>
      <c r="P9" s="79">
        <v>268</v>
      </c>
      <c r="Q9" s="43">
        <f t="shared" si="2"/>
        <v>10</v>
      </c>
      <c r="R9" s="79">
        <v>1100</v>
      </c>
      <c r="S9" s="43">
        <f t="shared" si="0"/>
        <v>560.5</v>
      </c>
      <c r="T9" s="79">
        <f t="shared" si="3"/>
        <v>7</v>
      </c>
      <c r="U9" s="79">
        <f t="shared" si="4"/>
        <v>0.11764705882352941</v>
      </c>
      <c r="V9" s="44">
        <f t="shared" si="5"/>
        <v>9</v>
      </c>
    </row>
    <row r="10" spans="1:22" ht="17.100000000000001" customHeight="1">
      <c r="A10" s="56">
        <f t="shared" si="6"/>
        <v>6.5</v>
      </c>
      <c r="B10" s="57">
        <f>A10*C10</f>
        <v>45.5</v>
      </c>
      <c r="C10" s="58">
        <f>MEDIAN(C9,C12)</f>
        <v>7</v>
      </c>
      <c r="D10" s="59">
        <f>A10*E10</f>
        <v>182</v>
      </c>
      <c r="E10" s="58">
        <f>MEDIAN(E9,E12)</f>
        <v>28</v>
      </c>
      <c r="F10" s="59">
        <f>A10*G10</f>
        <v>364</v>
      </c>
      <c r="G10" s="58">
        <f>MEDIAN(G9,G12)</f>
        <v>56</v>
      </c>
      <c r="H10" s="59">
        <f>A10*I10</f>
        <v>733.41666666666663</v>
      </c>
      <c r="I10" s="58">
        <f>MEDIAN(I9,I12)</f>
        <v>112.83333333333333</v>
      </c>
      <c r="J10" s="60">
        <f>A10*K10</f>
        <v>2946.6666666666665</v>
      </c>
      <c r="K10" s="48">
        <f>MEDIAN(K9,K12)</f>
        <v>453.33333333333331</v>
      </c>
      <c r="L10" s="148" t="s">
        <v>66</v>
      </c>
      <c r="M10" s="42" t="s">
        <v>67</v>
      </c>
      <c r="N10" s="79">
        <v>1905</v>
      </c>
      <c r="O10" s="43">
        <f t="shared" si="1"/>
        <v>2</v>
      </c>
      <c r="P10" s="79">
        <v>570</v>
      </c>
      <c r="Q10" s="43">
        <f t="shared" si="2"/>
        <v>7</v>
      </c>
      <c r="R10" s="79">
        <v>800</v>
      </c>
      <c r="S10" s="43">
        <f t="shared" si="0"/>
        <v>1237.5</v>
      </c>
      <c r="T10" s="79">
        <f t="shared" si="3"/>
        <v>2</v>
      </c>
      <c r="U10" s="79">
        <f t="shared" si="4"/>
        <v>0.22222222222222221</v>
      </c>
      <c r="V10" s="44">
        <f t="shared" si="5"/>
        <v>4</v>
      </c>
    </row>
    <row r="11" spans="1:22" ht="17.100000000000001" customHeight="1">
      <c r="A11" s="51">
        <f t="shared" si="6"/>
        <v>7</v>
      </c>
      <c r="B11" s="52">
        <f>A11*C11</f>
        <v>50.166666666666664</v>
      </c>
      <c r="C11" s="53">
        <f>MEDIAN(C10,C12)</f>
        <v>7.1666666666666661</v>
      </c>
      <c r="D11" s="54">
        <f>A11*E11</f>
        <v>200.66666666666666</v>
      </c>
      <c r="E11" s="53">
        <f>MEDIAN(E10,E12)</f>
        <v>28.666666666666664</v>
      </c>
      <c r="F11" s="54">
        <f>A11*G11</f>
        <v>401.33333333333331</v>
      </c>
      <c r="G11" s="53">
        <f>MEDIAN(G10,G12)</f>
        <v>57.333333333333329</v>
      </c>
      <c r="H11" s="54">
        <f>A11*I11</f>
        <v>805.58333333333326</v>
      </c>
      <c r="I11" s="53">
        <f>MEDIAN(I10,I12)</f>
        <v>115.08333333333333</v>
      </c>
      <c r="J11" s="55">
        <f>A11*K11</f>
        <v>3243.333333333333</v>
      </c>
      <c r="K11" s="48">
        <f>MEDIAN(K10,K12)</f>
        <v>463.33333333333331</v>
      </c>
      <c r="L11" s="148"/>
      <c r="M11" s="42" t="s">
        <v>68</v>
      </c>
      <c r="N11" s="79">
        <v>407</v>
      </c>
      <c r="O11" s="43">
        <f t="shared" si="1"/>
        <v>10</v>
      </c>
      <c r="P11" s="79">
        <v>205</v>
      </c>
      <c r="Q11" s="43">
        <f t="shared" si="2"/>
        <v>11</v>
      </c>
      <c r="R11" s="79">
        <v>1500</v>
      </c>
      <c r="S11" s="43">
        <f t="shared" si="0"/>
        <v>306</v>
      </c>
      <c r="T11" s="79">
        <f t="shared" si="3"/>
        <v>10</v>
      </c>
      <c r="U11" s="79">
        <f t="shared" si="4"/>
        <v>9.5238095238095233E-2</v>
      </c>
      <c r="V11" s="44">
        <f t="shared" si="5"/>
        <v>11</v>
      </c>
    </row>
    <row r="12" spans="1:22" ht="17.100000000000001" customHeight="1">
      <c r="A12" s="61">
        <f t="shared" si="6"/>
        <v>7.5</v>
      </c>
      <c r="B12" s="52">
        <v>55</v>
      </c>
      <c r="C12" s="53">
        <f>B12/$A$12</f>
        <v>7.333333333333333</v>
      </c>
      <c r="D12" s="54">
        <v>220</v>
      </c>
      <c r="E12" s="53">
        <f>D12/$A$12</f>
        <v>29.333333333333332</v>
      </c>
      <c r="F12" s="54">
        <v>440</v>
      </c>
      <c r="G12" s="53">
        <f>F12/$A$12</f>
        <v>58.666666666666664</v>
      </c>
      <c r="H12" s="54">
        <v>880</v>
      </c>
      <c r="I12" s="53">
        <f>H12/$A$12</f>
        <v>117.33333333333333</v>
      </c>
      <c r="J12" s="55">
        <v>3550</v>
      </c>
      <c r="K12" s="48">
        <f>J12/$A$12</f>
        <v>473.33333333333331</v>
      </c>
      <c r="L12" s="148"/>
      <c r="M12" s="42" t="s">
        <v>69</v>
      </c>
      <c r="N12" s="79">
        <v>206</v>
      </c>
      <c r="O12" s="43">
        <f t="shared" si="1"/>
        <v>11</v>
      </c>
      <c r="P12" s="79">
        <v>363</v>
      </c>
      <c r="Q12" s="43">
        <f t="shared" si="2"/>
        <v>9</v>
      </c>
      <c r="R12" s="79">
        <v>800</v>
      </c>
      <c r="S12" s="43">
        <f t="shared" si="0"/>
        <v>284.5</v>
      </c>
      <c r="T12" s="79">
        <f t="shared" si="3"/>
        <v>11</v>
      </c>
      <c r="U12" s="79">
        <f t="shared" si="4"/>
        <v>0.1</v>
      </c>
      <c r="V12" s="44">
        <f t="shared" si="5"/>
        <v>10</v>
      </c>
    </row>
    <row r="13" spans="1:22" ht="17.100000000000001" customHeight="1">
      <c r="A13" s="51">
        <f t="shared" si="6"/>
        <v>8</v>
      </c>
      <c r="B13" s="52">
        <f>A13*C13</f>
        <v>64.888888888888886</v>
      </c>
      <c r="C13" s="53">
        <f>MEDIAN(C12,C15)</f>
        <v>8.1111111111111107</v>
      </c>
      <c r="D13" s="54">
        <f>A13*E13</f>
        <v>250.66666666666669</v>
      </c>
      <c r="E13" s="53">
        <f>MEDIAN(E12,E15)</f>
        <v>31.333333333333336</v>
      </c>
      <c r="F13" s="54">
        <f>A13*G13</f>
        <v>510.22222222222217</v>
      </c>
      <c r="G13" s="53">
        <f>MEDIAN(G12,G15)</f>
        <v>63.777777777777771</v>
      </c>
      <c r="H13" s="54">
        <f>A13*I13</f>
        <v>1029.3333333333333</v>
      </c>
      <c r="I13" s="53">
        <f>MEDIAN(I12,I15)</f>
        <v>128.66666666666666</v>
      </c>
      <c r="J13" s="55">
        <f>A13*K13</f>
        <v>4151.1111111111113</v>
      </c>
      <c r="K13" s="48">
        <f>MEDIAN(K12,K15)</f>
        <v>518.88888888888891</v>
      </c>
      <c r="L13" s="148"/>
      <c r="M13" s="42" t="s">
        <v>70</v>
      </c>
      <c r="N13" s="79">
        <v>1052</v>
      </c>
      <c r="O13" s="43">
        <f t="shared" si="1"/>
        <v>6</v>
      </c>
      <c r="P13" s="79">
        <v>798</v>
      </c>
      <c r="Q13" s="43">
        <f t="shared" si="2"/>
        <v>4</v>
      </c>
      <c r="R13" s="79">
        <v>800</v>
      </c>
      <c r="S13" s="43">
        <f t="shared" si="0"/>
        <v>925</v>
      </c>
      <c r="T13" s="79">
        <f t="shared" si="3"/>
        <v>5</v>
      </c>
      <c r="U13" s="79">
        <f t="shared" si="4"/>
        <v>0.2</v>
      </c>
      <c r="V13" s="44">
        <f t="shared" si="5"/>
        <v>5</v>
      </c>
    </row>
    <row r="14" spans="1:22" ht="17.100000000000001" customHeight="1">
      <c r="A14" s="51">
        <f t="shared" si="6"/>
        <v>8.5</v>
      </c>
      <c r="B14" s="52">
        <f>A14*C14</f>
        <v>72.25</v>
      </c>
      <c r="C14" s="53">
        <f>MEDIAN(C13,C15)</f>
        <v>8.5</v>
      </c>
      <c r="D14" s="54">
        <f>A14*E14</f>
        <v>274.83333333333337</v>
      </c>
      <c r="E14" s="53">
        <f>MEDIAN(E13,E15)</f>
        <v>32.333333333333336</v>
      </c>
      <c r="F14" s="54">
        <f>A14*G14</f>
        <v>563.83333333333326</v>
      </c>
      <c r="G14" s="53">
        <f>MEDIAN(G13,G15)</f>
        <v>66.333333333333329</v>
      </c>
      <c r="H14" s="54">
        <f>A14*I14</f>
        <v>1141.8333333333333</v>
      </c>
      <c r="I14" s="53">
        <f>MEDIAN(I13,I15)</f>
        <v>134.33333333333331</v>
      </c>
      <c r="J14" s="55">
        <f>A14*K14</f>
        <v>4604.166666666667</v>
      </c>
      <c r="K14" s="48">
        <f>MEDIAN(K13,K15)</f>
        <v>541.66666666666674</v>
      </c>
      <c r="L14" s="148"/>
      <c r="M14" s="42" t="s">
        <v>71</v>
      </c>
      <c r="N14" s="79">
        <v>3281</v>
      </c>
      <c r="O14" s="112">
        <f t="shared" si="1"/>
        <v>1</v>
      </c>
      <c r="P14" s="79">
        <v>959</v>
      </c>
      <c r="Q14" s="112">
        <f t="shared" si="2"/>
        <v>3</v>
      </c>
      <c r="R14" s="79">
        <v>1100</v>
      </c>
      <c r="S14" s="43">
        <f t="shared" si="0"/>
        <v>2120</v>
      </c>
      <c r="T14" s="113">
        <f t="shared" si="3"/>
        <v>1</v>
      </c>
      <c r="U14" s="79">
        <f t="shared" si="4"/>
        <v>0.5</v>
      </c>
      <c r="V14" s="114">
        <f t="shared" si="5"/>
        <v>1</v>
      </c>
    </row>
    <row r="15" spans="1:22" ht="17.100000000000001" customHeight="1">
      <c r="A15" s="61">
        <f t="shared" si="6"/>
        <v>9</v>
      </c>
      <c r="B15" s="52">
        <v>80</v>
      </c>
      <c r="C15" s="53">
        <f>B15/$A$15</f>
        <v>8.8888888888888893</v>
      </c>
      <c r="D15" s="54">
        <v>300</v>
      </c>
      <c r="E15" s="53">
        <f>D15/$A$15</f>
        <v>33.333333333333336</v>
      </c>
      <c r="F15" s="54">
        <v>620</v>
      </c>
      <c r="G15" s="53">
        <f>F15/$A$15</f>
        <v>68.888888888888886</v>
      </c>
      <c r="H15" s="54">
        <v>1260</v>
      </c>
      <c r="I15" s="53">
        <f>H15/$A$15</f>
        <v>140</v>
      </c>
      <c r="J15" s="55">
        <v>5080</v>
      </c>
      <c r="K15" s="48">
        <f>J15/$A$15</f>
        <v>564.44444444444446</v>
      </c>
      <c r="L15" s="148"/>
      <c r="M15" s="62" t="s">
        <v>72</v>
      </c>
      <c r="N15" s="63">
        <f>ROUND(N14*1.85/10.6,0)</f>
        <v>573</v>
      </c>
      <c r="O15" s="64"/>
      <c r="P15" s="63">
        <f>ROUND(P14*1.85/10.6,)</f>
        <v>167</v>
      </c>
      <c r="Q15" s="103"/>
      <c r="R15" s="63"/>
      <c r="S15" s="63">
        <f>ROUND(S14*1.85/10.6,)</f>
        <v>370</v>
      </c>
      <c r="T15" s="65"/>
      <c r="U15" s="66"/>
      <c r="V15" s="67"/>
    </row>
    <row r="16" spans="1:22" ht="17.100000000000001" customHeight="1" thickBot="1">
      <c r="A16" s="51">
        <f t="shared" si="6"/>
        <v>9.5</v>
      </c>
      <c r="B16" s="52">
        <f>A16*C16</f>
        <v>87.460317460317455</v>
      </c>
      <c r="C16" s="53">
        <f>MEDIAN(C15,C18)</f>
        <v>9.2063492063492056</v>
      </c>
      <c r="D16" s="54">
        <f>A16*E16</f>
        <v>339.28571428571428</v>
      </c>
      <c r="E16" s="53">
        <f>MEDIAN(E15,E18)</f>
        <v>35.714285714285715</v>
      </c>
      <c r="F16" s="54">
        <f>A16*G16</f>
        <v>689.1269841269841</v>
      </c>
      <c r="G16" s="53">
        <f>MEDIAN(G15,G18)</f>
        <v>72.539682539682531</v>
      </c>
      <c r="H16" s="54">
        <f>A16*I16</f>
        <v>1402.3809523809523</v>
      </c>
      <c r="I16" s="53">
        <f>MEDIAN(I15,I18)</f>
        <v>147.61904761904762</v>
      </c>
      <c r="J16" s="55">
        <f>A16*K16</f>
        <v>5639.6825396825407</v>
      </c>
      <c r="K16" s="48">
        <f>MEDIAN(K15,K18)</f>
        <v>593.65079365079373</v>
      </c>
      <c r="L16" s="69"/>
      <c r="M16" s="98" t="s">
        <v>73</v>
      </c>
      <c r="N16" s="99">
        <f>ROUND(N15*1.732,0)</f>
        <v>992</v>
      </c>
      <c r="O16" s="100"/>
      <c r="P16" s="99">
        <f>ROUND(P15*1.732,)</f>
        <v>289</v>
      </c>
      <c r="Q16" s="99"/>
      <c r="R16" s="99"/>
      <c r="S16" s="99">
        <f>ROUND(S15*1.732,)</f>
        <v>641</v>
      </c>
      <c r="T16" s="99"/>
      <c r="U16" s="101"/>
      <c r="V16" s="102"/>
    </row>
    <row r="17" spans="1:22" ht="17.100000000000001" customHeight="1" thickTop="1">
      <c r="A17" s="51">
        <f t="shared" si="6"/>
        <v>10</v>
      </c>
      <c r="B17" s="52">
        <f>A17*C17</f>
        <v>93.650793650793645</v>
      </c>
      <c r="C17" s="53">
        <f>MEDIAN(C16,C18)</f>
        <v>9.3650793650793638</v>
      </c>
      <c r="D17" s="54">
        <f>A17*E17</f>
        <v>369.04761904761904</v>
      </c>
      <c r="E17" s="53">
        <f>MEDIAN(E16,E18)</f>
        <v>36.904761904761905</v>
      </c>
      <c r="F17" s="54">
        <f>A17*G17</f>
        <v>743.65079365079373</v>
      </c>
      <c r="G17" s="53">
        <f>MEDIAN(G16,G18)</f>
        <v>74.365079365079367</v>
      </c>
      <c r="H17" s="54">
        <f>A17*I17</f>
        <v>1514.2857142857144</v>
      </c>
      <c r="I17" s="53">
        <f>MEDIAN(I16,I18)</f>
        <v>151.42857142857144</v>
      </c>
      <c r="J17" s="55">
        <f>A17*K17</f>
        <v>6082.5396825396829</v>
      </c>
      <c r="K17" s="48">
        <f>MEDIAN(K16,K18)</f>
        <v>608.25396825396831</v>
      </c>
      <c r="L17" s="70"/>
      <c r="M17" s="106"/>
      <c r="N17" s="107"/>
      <c r="O17" s="108"/>
      <c r="P17" s="107"/>
      <c r="Q17" s="107"/>
      <c r="R17" s="107"/>
      <c r="S17" s="107"/>
      <c r="T17" s="107"/>
      <c r="U17" s="106"/>
      <c r="V17" s="106"/>
    </row>
    <row r="18" spans="1:22" ht="17.100000000000001" customHeight="1">
      <c r="A18" s="61">
        <f t="shared" si="6"/>
        <v>10.5</v>
      </c>
      <c r="B18" s="52">
        <v>100</v>
      </c>
      <c r="C18" s="53">
        <f>B18/$A$18</f>
        <v>9.5238095238095237</v>
      </c>
      <c r="D18" s="54">
        <v>400</v>
      </c>
      <c r="E18" s="53">
        <f>D18/$A$18</f>
        <v>38.095238095238095</v>
      </c>
      <c r="F18" s="54">
        <v>800</v>
      </c>
      <c r="G18" s="53">
        <f>F18/$A$18</f>
        <v>76.19047619047619</v>
      </c>
      <c r="H18" s="54">
        <v>1630</v>
      </c>
      <c r="I18" s="53">
        <f>H18/$A$18</f>
        <v>155.23809523809524</v>
      </c>
      <c r="J18" s="55">
        <v>6540</v>
      </c>
      <c r="K18" s="48">
        <f>J18/$A$18</f>
        <v>622.85714285714289</v>
      </c>
      <c r="L18" s="70"/>
      <c r="M18" s="109"/>
      <c r="N18" s="110"/>
      <c r="O18" s="111"/>
      <c r="P18" s="110"/>
      <c r="Q18" s="110"/>
      <c r="R18" s="110"/>
      <c r="S18" s="110"/>
      <c r="T18" s="110"/>
      <c r="U18" s="109"/>
      <c r="V18" s="109"/>
    </row>
    <row r="19" spans="1:22" ht="17.100000000000001" customHeight="1">
      <c r="A19" s="51">
        <f t="shared" si="6"/>
        <v>11</v>
      </c>
      <c r="B19" s="52">
        <f>A19*C19</f>
        <v>111.96428571428572</v>
      </c>
      <c r="C19" s="53">
        <f>MEDIAN(C18,C21)</f>
        <v>10.178571428571429</v>
      </c>
      <c r="D19" s="54">
        <f>A19*E19</f>
        <v>457.02380952380958</v>
      </c>
      <c r="E19" s="53">
        <f>MEDIAN(E18,E21)</f>
        <v>41.547619047619051</v>
      </c>
      <c r="F19" s="54">
        <f>A19*G19</f>
        <v>877.38095238095229</v>
      </c>
      <c r="G19" s="53">
        <f>MEDIAN(G18,G21)</f>
        <v>79.761904761904759</v>
      </c>
      <c r="H19" s="54">
        <f>A19*I19</f>
        <v>1852.9761904761906</v>
      </c>
      <c r="I19" s="53">
        <f>MEDIAN(I18,I21)</f>
        <v>168.45238095238096</v>
      </c>
      <c r="J19" s="55">
        <f>A19*K19</f>
        <v>7422.3809523809532</v>
      </c>
      <c r="K19" s="48">
        <f>MEDIAN(K18,K21)</f>
        <v>674.76190476190482</v>
      </c>
      <c r="L19" s="68"/>
    </row>
    <row r="20" spans="1:22" ht="17.100000000000001" customHeight="1">
      <c r="A20" s="51">
        <f t="shared" si="6"/>
        <v>11.5</v>
      </c>
      <c r="B20" s="52">
        <f>A20*C20</f>
        <v>120.81845238095238</v>
      </c>
      <c r="C20" s="53">
        <f>MEDIAN(C19,C21)</f>
        <v>10.505952380952381</v>
      </c>
      <c r="D20" s="54">
        <f>A20*E20</f>
        <v>497.64880952380952</v>
      </c>
      <c r="E20" s="53">
        <f>MEDIAN(E19,E21)</f>
        <v>43.273809523809526</v>
      </c>
      <c r="F20" s="54">
        <f>A20*G20</f>
        <v>937.79761904761892</v>
      </c>
      <c r="G20" s="53">
        <f>MEDIAN(G19,G21)</f>
        <v>81.547619047619037</v>
      </c>
      <c r="H20" s="54">
        <f>A20*I20</f>
        <v>2013.1845238095236</v>
      </c>
      <c r="I20" s="53">
        <f>MEDIAN(I19,I21)</f>
        <v>175.0595238095238</v>
      </c>
      <c r="J20" s="55">
        <f>A20*K20</f>
        <v>8058.2142857142862</v>
      </c>
      <c r="K20" s="48">
        <f>MEDIAN(K19,K21)</f>
        <v>700.71428571428578</v>
      </c>
    </row>
    <row r="21" spans="1:22" ht="17.100000000000001" customHeight="1">
      <c r="A21" s="61">
        <f t="shared" si="6"/>
        <v>12</v>
      </c>
      <c r="B21" s="52">
        <v>130</v>
      </c>
      <c r="C21" s="53">
        <f>B21/$A$21</f>
        <v>10.833333333333334</v>
      </c>
      <c r="D21" s="54">
        <v>540</v>
      </c>
      <c r="E21" s="53">
        <f>D21/$A$21</f>
        <v>45</v>
      </c>
      <c r="F21" s="54">
        <v>1000</v>
      </c>
      <c r="G21" s="53">
        <f>F21/$A$21</f>
        <v>83.333333333333329</v>
      </c>
      <c r="H21" s="54">
        <v>2180</v>
      </c>
      <c r="I21" s="53">
        <f>H21/$A$21</f>
        <v>181.66666666666666</v>
      </c>
      <c r="J21" s="55">
        <v>8720</v>
      </c>
      <c r="K21" s="48">
        <f>J21/$A$21</f>
        <v>726.66666666666663</v>
      </c>
    </row>
    <row r="22" spans="1:22" ht="17.100000000000001" customHeight="1">
      <c r="A22" s="51">
        <f t="shared" si="6"/>
        <v>12.5</v>
      </c>
      <c r="B22" s="52">
        <f>A22*C22</f>
        <v>142.70833333333334</v>
      </c>
      <c r="C22" s="53">
        <f>MEDIAN(C21,$C$27)</f>
        <v>11.416666666666668</v>
      </c>
      <c r="D22" s="54">
        <f>A22*E22</f>
        <v>577.08333333333337</v>
      </c>
      <c r="E22" s="53">
        <f>MEDIAN(E21,$E$27)</f>
        <v>46.166666666666671</v>
      </c>
      <c r="F22" s="54">
        <f>A22*G22</f>
        <v>1125</v>
      </c>
      <c r="G22" s="53">
        <f>MEDIAN(G21,$G$27)</f>
        <v>90</v>
      </c>
      <c r="H22" s="54">
        <f>A22*I22</f>
        <v>2343.75</v>
      </c>
      <c r="I22" s="53">
        <f>MEDIAN(I21,$I$27)</f>
        <v>187.5</v>
      </c>
      <c r="J22" s="55">
        <f>A22*K22</f>
        <v>5750</v>
      </c>
      <c r="K22" s="48">
        <f>MEDIAN(K21,$I$27)</f>
        <v>460</v>
      </c>
    </row>
    <row r="23" spans="1:22" ht="17.100000000000001" customHeight="1">
      <c r="A23" s="51">
        <f t="shared" si="6"/>
        <v>13</v>
      </c>
      <c r="B23" s="52">
        <f>A23*C23</f>
        <v>152.20833333333334</v>
      </c>
      <c r="C23" s="53">
        <f>MEDIAN(C22,$C$27)</f>
        <v>11.708333333333334</v>
      </c>
      <c r="D23" s="54">
        <f t="shared" ref="D23:D38" si="7">A23*E23</f>
        <v>607.75</v>
      </c>
      <c r="E23" s="53">
        <f>MEDIAN(E22,$E$27)</f>
        <v>46.75</v>
      </c>
      <c r="F23" s="54">
        <f>A23*G23</f>
        <v>1213.3333333333335</v>
      </c>
      <c r="G23" s="53">
        <f>MEDIAN(G22,$G$27)</f>
        <v>93.333333333333343</v>
      </c>
      <c r="H23" s="54">
        <f>A23*I23</f>
        <v>2475.416666666667</v>
      </c>
      <c r="I23" s="53">
        <f>MEDIAN(I22,$I$27)</f>
        <v>190.41666666666669</v>
      </c>
      <c r="J23" s="55">
        <f>A23*K23</f>
        <v>4246.6666666666661</v>
      </c>
      <c r="K23" s="48">
        <f>MEDIAN(K22,$I$27)</f>
        <v>326.66666666666663</v>
      </c>
    </row>
    <row r="24" spans="1:22" ht="17.100000000000001" customHeight="1">
      <c r="A24" s="51">
        <f t="shared" si="6"/>
        <v>13.5</v>
      </c>
      <c r="B24" s="52">
        <f>A24*C24</f>
        <v>160.03125000000003</v>
      </c>
      <c r="C24" s="53">
        <f>MEDIAN(C23,$C$27)</f>
        <v>11.854166666666668</v>
      </c>
      <c r="D24" s="54">
        <f t="shared" si="7"/>
        <v>635.06250000000011</v>
      </c>
      <c r="E24" s="53">
        <f>MEDIAN(E23,$E$27)</f>
        <v>47.041666666666671</v>
      </c>
      <c r="F24" s="54">
        <f>A24*G24</f>
        <v>1282.5</v>
      </c>
      <c r="G24" s="53">
        <f>MEDIAN(G23,$G$27)</f>
        <v>95</v>
      </c>
      <c r="H24" s="54">
        <f>A24*I24</f>
        <v>2590.3125</v>
      </c>
      <c r="I24" s="53">
        <f>MEDIAN(I23,$I$27)</f>
        <v>191.875</v>
      </c>
      <c r="J24" s="55">
        <f>A24*K24</f>
        <v>3510</v>
      </c>
      <c r="K24" s="48">
        <f>MEDIAN(K23,$I$27)</f>
        <v>260</v>
      </c>
    </row>
    <row r="25" spans="1:22" ht="17.100000000000001" customHeight="1">
      <c r="A25" s="51">
        <f t="shared" si="6"/>
        <v>14</v>
      </c>
      <c r="B25" s="52">
        <f>A25*C25</f>
        <v>166.97916666666669</v>
      </c>
      <c r="C25" s="53">
        <f>MEDIAN(C24,$C$27)</f>
        <v>11.927083333333334</v>
      </c>
      <c r="D25" s="54">
        <f t="shared" si="7"/>
        <v>660.625</v>
      </c>
      <c r="E25" s="53">
        <f>MEDIAN(E24,$E$27)</f>
        <v>47.1875</v>
      </c>
      <c r="F25" s="54">
        <f>A25*G25</f>
        <v>1341.6666666666667</v>
      </c>
      <c r="G25" s="53">
        <f>MEDIAN(G24,$G$27)</f>
        <v>95.833333333333343</v>
      </c>
      <c r="H25" s="54">
        <f>A25*I25</f>
        <v>2696.4583333333335</v>
      </c>
      <c r="I25" s="53">
        <f>MEDIAN(I24,$I$27)</f>
        <v>192.60416666666669</v>
      </c>
      <c r="J25" s="55">
        <f>A25*K25</f>
        <v>3173.3333333333335</v>
      </c>
      <c r="K25" s="48">
        <f>MEDIAN(K24,$I$27)</f>
        <v>226.66666666666669</v>
      </c>
    </row>
    <row r="26" spans="1:22" ht="17.100000000000001" customHeight="1">
      <c r="A26" s="51">
        <f t="shared" si="6"/>
        <v>14.5</v>
      </c>
      <c r="B26" s="52">
        <f>A26*C26</f>
        <v>173.47135416666669</v>
      </c>
      <c r="C26" s="53">
        <f>MEDIAN(C25,$C$27)</f>
        <v>11.963541666666668</v>
      </c>
      <c r="D26" s="54">
        <f t="shared" si="7"/>
        <v>685.27604166666674</v>
      </c>
      <c r="E26" s="53">
        <f>MEDIAN(E25,$E$27)</f>
        <v>47.260416666666671</v>
      </c>
      <c r="F26" s="54">
        <f>A26*G26</f>
        <v>1395.625</v>
      </c>
      <c r="G26" s="53">
        <f>MEDIAN(G25,$G$27)</f>
        <v>96.25</v>
      </c>
      <c r="H26" s="54">
        <f>A26*I26</f>
        <v>2798.046875</v>
      </c>
      <c r="I26" s="53">
        <f>MEDIAN(I25,$I$27)</f>
        <v>192.96875</v>
      </c>
      <c r="J26" s="55">
        <f>A26*K26</f>
        <v>3045</v>
      </c>
      <c r="K26" s="48">
        <f>MEDIAN(K25,$I$27)</f>
        <v>210</v>
      </c>
    </row>
    <row r="27" spans="1:22" ht="17.100000000000001" customHeight="1">
      <c r="A27" s="61">
        <f t="shared" si="6"/>
        <v>15</v>
      </c>
      <c r="B27" s="52">
        <v>180</v>
      </c>
      <c r="C27" s="53">
        <f>B27/$A$27</f>
        <v>12</v>
      </c>
      <c r="D27" s="54">
        <v>710</v>
      </c>
      <c r="E27" s="53">
        <f>D27/$A$27</f>
        <v>47.333333333333336</v>
      </c>
      <c r="F27" s="54">
        <v>1450</v>
      </c>
      <c r="G27" s="53">
        <f>F27/$A$27</f>
        <v>96.666666666666671</v>
      </c>
      <c r="H27" s="54">
        <v>2900</v>
      </c>
      <c r="I27" s="53">
        <f>H27/$A$27</f>
        <v>193.33333333333334</v>
      </c>
      <c r="J27" s="55">
        <v>11620</v>
      </c>
      <c r="K27" s="48">
        <f>J27/$A$27</f>
        <v>774.66666666666663</v>
      </c>
    </row>
    <row r="28" spans="1:22" ht="17.100000000000001" customHeight="1">
      <c r="A28" s="51">
        <f t="shared" si="6"/>
        <v>15.5</v>
      </c>
      <c r="B28" s="52">
        <f>A28*C28</f>
        <v>187.72222222222223</v>
      </c>
      <c r="C28" s="53">
        <f>MEDIAN(C27,$C$33)</f>
        <v>12.111111111111111</v>
      </c>
      <c r="D28" s="54">
        <f t="shared" si="7"/>
        <v>754.33333333333337</v>
      </c>
      <c r="E28" s="53">
        <f>MEDIAN(E27,$E$33)</f>
        <v>48.666666666666671</v>
      </c>
      <c r="F28" s="54">
        <f>A28*G28</f>
        <v>1524.1666666666667</v>
      </c>
      <c r="G28" s="53">
        <f>MEDIAN(G27,$G$33)</f>
        <v>98.333333333333343</v>
      </c>
      <c r="H28" s="54">
        <f>A28*I28</f>
        <v>3056.9444444444443</v>
      </c>
      <c r="I28" s="53">
        <f>MEDIAN(I27,$I$33)</f>
        <v>197.22222222222223</v>
      </c>
      <c r="J28" s="55">
        <f>A28*K28</f>
        <v>7562.2777777777783</v>
      </c>
      <c r="K28" s="48">
        <f>MEDIAN(K27,$I$33)</f>
        <v>487.88888888888891</v>
      </c>
    </row>
    <row r="29" spans="1:22" ht="17.100000000000001" customHeight="1">
      <c r="A29" s="51">
        <f t="shared" si="6"/>
        <v>16</v>
      </c>
      <c r="B29" s="52">
        <f>A29*C29</f>
        <v>194.66666666666666</v>
      </c>
      <c r="C29" s="53">
        <f>MEDIAN(C28,$C$33)</f>
        <v>12.166666666666666</v>
      </c>
      <c r="D29" s="54">
        <f t="shared" si="7"/>
        <v>789.33333333333337</v>
      </c>
      <c r="E29" s="53">
        <f>MEDIAN(E28,$E$33)</f>
        <v>49.333333333333336</v>
      </c>
      <c r="F29" s="54">
        <f>A29*G29</f>
        <v>1586.6666666666667</v>
      </c>
      <c r="G29" s="53">
        <f>MEDIAN(G28,$G$33)</f>
        <v>99.166666666666671</v>
      </c>
      <c r="H29" s="54">
        <f>A29*I29</f>
        <v>3186.666666666667</v>
      </c>
      <c r="I29" s="53">
        <f>MEDIAN(I28,$I$33)</f>
        <v>199.16666666666669</v>
      </c>
      <c r="J29" s="55">
        <f>A29*K29</f>
        <v>5512</v>
      </c>
      <c r="K29" s="48">
        <f>MEDIAN(K28,$I$33)</f>
        <v>344.5</v>
      </c>
    </row>
    <row r="30" spans="1:22" ht="17.100000000000001" customHeight="1">
      <c r="A30" s="51">
        <f t="shared" si="6"/>
        <v>16.5</v>
      </c>
      <c r="B30" s="52">
        <f>A30*C30</f>
        <v>201.20833333333331</v>
      </c>
      <c r="C30" s="53">
        <f>MEDIAN(C29,$C$33)</f>
        <v>12.194444444444443</v>
      </c>
      <c r="D30" s="54">
        <f t="shared" si="7"/>
        <v>819.50000000000011</v>
      </c>
      <c r="E30" s="53">
        <f>MEDIAN(E29,$E$33)</f>
        <v>49.666666666666671</v>
      </c>
      <c r="F30" s="54">
        <f>A30*G30</f>
        <v>1643.1250000000002</v>
      </c>
      <c r="G30" s="53">
        <f>MEDIAN(G29,$G$33)</f>
        <v>99.583333333333343</v>
      </c>
      <c r="H30" s="54">
        <f>A30*I30</f>
        <v>3302.291666666667</v>
      </c>
      <c r="I30" s="53">
        <f>MEDIAN(I29,$I$33)</f>
        <v>200.13888888888891</v>
      </c>
      <c r="J30" s="55">
        <f>A30*K30</f>
        <v>4501.2916666666661</v>
      </c>
      <c r="K30" s="48">
        <f>MEDIAN(K29,$I$33)</f>
        <v>272.80555555555554</v>
      </c>
    </row>
    <row r="31" spans="1:22" ht="17.100000000000001" customHeight="1">
      <c r="A31" s="51">
        <f t="shared" si="6"/>
        <v>17</v>
      </c>
      <c r="B31" s="52">
        <f>A31*C31</f>
        <v>207.54166666666666</v>
      </c>
      <c r="C31" s="53">
        <f>MEDIAN(C30,$C$33)</f>
        <v>12.208333333333332</v>
      </c>
      <c r="D31" s="54">
        <f t="shared" si="7"/>
        <v>847.16666666666674</v>
      </c>
      <c r="E31" s="53">
        <f>MEDIAN(E30,$E$33)</f>
        <v>49.833333333333336</v>
      </c>
      <c r="F31" s="54">
        <f>A31*G31</f>
        <v>1696.4583333333335</v>
      </c>
      <c r="G31" s="53">
        <f>MEDIAN(G30,$G$33)</f>
        <v>99.791666666666671</v>
      </c>
      <c r="H31" s="54">
        <f>A31*I31</f>
        <v>3410.625</v>
      </c>
      <c r="I31" s="53">
        <f>MEDIAN(I30,$I$33)</f>
        <v>200.625</v>
      </c>
      <c r="J31" s="55">
        <f>A31*K31</f>
        <v>4028.2916666666665</v>
      </c>
      <c r="K31" s="48">
        <f>MEDIAN(K30,$I$33)</f>
        <v>236.95833333333331</v>
      </c>
    </row>
    <row r="32" spans="1:22" ht="17.100000000000001" customHeight="1">
      <c r="A32" s="51">
        <f t="shared" si="6"/>
        <v>17.5</v>
      </c>
      <c r="B32" s="52">
        <f>A32*C32</f>
        <v>213.76736111111109</v>
      </c>
      <c r="C32" s="53">
        <f>MEDIAN(C31,$C$33)</f>
        <v>12.215277777777777</v>
      </c>
      <c r="D32" s="54">
        <f t="shared" si="7"/>
        <v>873.54166666666674</v>
      </c>
      <c r="E32" s="53">
        <f>MEDIAN(E31,$E$33)</f>
        <v>49.916666666666671</v>
      </c>
      <c r="F32" s="54">
        <f>A32*G32</f>
        <v>1748.1770833333335</v>
      </c>
      <c r="G32" s="53">
        <f>MEDIAN(G31,$G$33)</f>
        <v>99.895833333333343</v>
      </c>
      <c r="H32" s="54">
        <f>A32*I32</f>
        <v>3515.1909722222222</v>
      </c>
      <c r="I32" s="53">
        <f>MEDIAN(I31,$I$33)</f>
        <v>200.86805555555554</v>
      </c>
      <c r="J32" s="55">
        <f>A32*K32</f>
        <v>3833.1076388888891</v>
      </c>
      <c r="K32" s="48">
        <f>MEDIAN(K31,$I$33)</f>
        <v>219.03472222222223</v>
      </c>
    </row>
    <row r="33" spans="1:11" ht="17.100000000000001" customHeight="1">
      <c r="A33" s="61">
        <f t="shared" si="6"/>
        <v>18</v>
      </c>
      <c r="B33" s="52">
        <v>220</v>
      </c>
      <c r="C33" s="53">
        <f>B33/$A$33</f>
        <v>12.222222222222221</v>
      </c>
      <c r="D33" s="54">
        <v>900</v>
      </c>
      <c r="E33" s="53">
        <f>D33/$A$33</f>
        <v>50</v>
      </c>
      <c r="F33" s="54">
        <v>1800</v>
      </c>
      <c r="G33" s="53">
        <f>F33/$A$33</f>
        <v>100</v>
      </c>
      <c r="H33" s="54">
        <v>3620</v>
      </c>
      <c r="I33" s="53">
        <f>H33/$A$33</f>
        <v>201.11111111111111</v>
      </c>
      <c r="J33" s="55">
        <v>14530</v>
      </c>
      <c r="K33" s="48">
        <f>J33/$A$33</f>
        <v>807.22222222222217</v>
      </c>
    </row>
    <row r="34" spans="1:11" ht="17.100000000000001" customHeight="1">
      <c r="A34" s="51">
        <f t="shared" si="6"/>
        <v>18.5</v>
      </c>
      <c r="B34" s="52">
        <f>A34*C34</f>
        <v>245.19841269841268</v>
      </c>
      <c r="C34" s="53">
        <f>MEDIAN(C33,$C$39)</f>
        <v>13.253968253968253</v>
      </c>
      <c r="D34" s="54">
        <f t="shared" si="7"/>
        <v>991.07142857142856</v>
      </c>
      <c r="E34" s="53">
        <f>MEDIAN(E33,$E$39)</f>
        <v>53.571428571428569</v>
      </c>
      <c r="F34" s="54">
        <f>A34*G34</f>
        <v>2004.1666666666667</v>
      </c>
      <c r="G34" s="53">
        <f>MEDIAN(G33,$G$39)</f>
        <v>108.33333333333334</v>
      </c>
      <c r="H34" s="54">
        <f>A34*I34</f>
        <v>3996.5873015873012</v>
      </c>
      <c r="I34" s="53">
        <f>MEDIAN(I33,$I$39)</f>
        <v>216.03174603174602</v>
      </c>
      <c r="J34" s="55">
        <f>A34*K34</f>
        <v>9603.1150793650795</v>
      </c>
      <c r="K34" s="48">
        <f>MEDIAN(K33,$I$39)</f>
        <v>519.08730158730157</v>
      </c>
    </row>
    <row r="35" spans="1:11" ht="17.100000000000001" customHeight="1">
      <c r="A35" s="51">
        <f t="shared" si="6"/>
        <v>19</v>
      </c>
      <c r="B35" s="52">
        <f>A35*C35</f>
        <v>261.6269841269841</v>
      </c>
      <c r="C35" s="53">
        <f>MEDIAN(C34,$C$39)</f>
        <v>13.769841269841269</v>
      </c>
      <c r="D35" s="54">
        <f t="shared" si="7"/>
        <v>1051.7857142857144</v>
      </c>
      <c r="E35" s="53">
        <f>MEDIAN(E34,$E$39)</f>
        <v>55.357142857142861</v>
      </c>
      <c r="F35" s="54">
        <f>A35*G35</f>
        <v>2137.5</v>
      </c>
      <c r="G35" s="53">
        <f>MEDIAN(G34,$G$39)</f>
        <v>112.5</v>
      </c>
      <c r="H35" s="54">
        <f>A35*I35</f>
        <v>4246.3492063492067</v>
      </c>
      <c r="I35" s="53">
        <f>MEDIAN(I34,$I$39)</f>
        <v>223.49206349206349</v>
      </c>
      <c r="J35" s="55">
        <f>A35*K35</f>
        <v>7125.3769841269841</v>
      </c>
      <c r="K35" s="48">
        <f>MEDIAN(K34,$I$39)</f>
        <v>375.01984126984127</v>
      </c>
    </row>
    <row r="36" spans="1:11" ht="17.100000000000001" customHeight="1">
      <c r="A36" s="51">
        <f t="shared" si="6"/>
        <v>19.5</v>
      </c>
      <c r="B36" s="52">
        <f>A36*C36</f>
        <v>273.54166666666669</v>
      </c>
      <c r="C36" s="53">
        <f>MEDIAN(C35,$C$39)</f>
        <v>14.027777777777779</v>
      </c>
      <c r="D36" s="54">
        <f t="shared" si="7"/>
        <v>1096.875</v>
      </c>
      <c r="E36" s="53">
        <f>MEDIAN(E35,$E$39)</f>
        <v>56.25</v>
      </c>
      <c r="F36" s="54">
        <f>A36*G36</f>
        <v>2234.375</v>
      </c>
      <c r="G36" s="53">
        <f>MEDIAN(G35,$G$39)</f>
        <v>114.58333333333334</v>
      </c>
      <c r="H36" s="54">
        <f>A36*I36</f>
        <v>4430.833333333333</v>
      </c>
      <c r="I36" s="53">
        <f>MEDIAN(I35,$I$39)</f>
        <v>227.22222222222223</v>
      </c>
      <c r="J36" s="55">
        <f>A36*K36</f>
        <v>5908.2291666666661</v>
      </c>
      <c r="K36" s="48">
        <f>MEDIAN(K35,$I$39)</f>
        <v>302.98611111111109</v>
      </c>
    </row>
    <row r="37" spans="1:11" ht="17.100000000000001" customHeight="1">
      <c r="A37" s="51">
        <f t="shared" si="6"/>
        <v>20</v>
      </c>
      <c r="B37" s="52">
        <f>A37*C37</f>
        <v>283.1349206349206</v>
      </c>
      <c r="C37" s="53">
        <f>MEDIAN(C36,$C$39)</f>
        <v>14.156746031746032</v>
      </c>
      <c r="D37" s="54">
        <f t="shared" si="7"/>
        <v>1133.9285714285713</v>
      </c>
      <c r="E37" s="53">
        <f>MEDIAN(E36,$E$39)</f>
        <v>56.696428571428569</v>
      </c>
      <c r="F37" s="54">
        <f>A37*G37</f>
        <v>2312.5</v>
      </c>
      <c r="G37" s="53">
        <f>MEDIAN(G36,$G$39)</f>
        <v>115.625</v>
      </c>
      <c r="H37" s="54">
        <f>A37*I37</f>
        <v>4581.7460317460318</v>
      </c>
      <c r="I37" s="53">
        <f>MEDIAN(I36,$I$39)</f>
        <v>229.0873015873016</v>
      </c>
      <c r="J37" s="55">
        <f>A37*K37</f>
        <v>5339.3849206349205</v>
      </c>
      <c r="K37" s="48">
        <f>MEDIAN(K36,$I$39)</f>
        <v>266.96924603174602</v>
      </c>
    </row>
    <row r="38" spans="1:11" ht="17.100000000000001" customHeight="1">
      <c r="A38" s="51">
        <f>A37+0.5</f>
        <v>20.5</v>
      </c>
      <c r="B38" s="52">
        <f>A38*C38</f>
        <v>291.53521825396825</v>
      </c>
      <c r="C38" s="53">
        <f>MEDIAN(C37,$C$39)</f>
        <v>14.221230158730158</v>
      </c>
      <c r="D38" s="54">
        <f t="shared" si="7"/>
        <v>1166.8526785714287</v>
      </c>
      <c r="E38" s="53">
        <f>MEDIAN(E37,$E$39)</f>
        <v>56.919642857142861</v>
      </c>
      <c r="F38" s="54">
        <f>A38*G38</f>
        <v>2380.9895833333335</v>
      </c>
      <c r="G38" s="53">
        <f>MEDIAN(G37,$G$39)</f>
        <v>116.14583333333334</v>
      </c>
      <c r="H38" s="54">
        <f>A38*I38</f>
        <v>4715.4067460317456</v>
      </c>
      <c r="I38" s="53">
        <f>MEDIAN(I37,$I$39)</f>
        <v>230.01984126984127</v>
      </c>
      <c r="J38" s="55">
        <f>A38*K38</f>
        <v>5103.6966765873012</v>
      </c>
      <c r="K38" s="48">
        <f>MEDIAN(K37,$I$39)</f>
        <v>248.96081349206349</v>
      </c>
    </row>
    <row r="39" spans="1:11" ht="17.100000000000001" customHeight="1" thickBot="1">
      <c r="A39" s="71">
        <f t="shared" si="6"/>
        <v>21</v>
      </c>
      <c r="B39" s="72">
        <v>300</v>
      </c>
      <c r="C39" s="73">
        <f>B39/$A$39</f>
        <v>14.285714285714286</v>
      </c>
      <c r="D39" s="74">
        <v>1200</v>
      </c>
      <c r="E39" s="73">
        <f>D39/$A$39</f>
        <v>57.142857142857146</v>
      </c>
      <c r="F39" s="74">
        <v>2450</v>
      </c>
      <c r="G39" s="73">
        <f>F39/$A$39</f>
        <v>116.66666666666667</v>
      </c>
      <c r="H39" s="74">
        <v>4850</v>
      </c>
      <c r="I39" s="73">
        <f>H39/$A$39</f>
        <v>230.95238095238096</v>
      </c>
      <c r="J39" s="75">
        <v>19620</v>
      </c>
      <c r="K39" s="48">
        <f>J39/$A$39</f>
        <v>934.28571428571433</v>
      </c>
    </row>
    <row r="40" spans="1:11" ht="15" thickTop="1">
      <c r="A40" s="76"/>
      <c r="B40" s="76"/>
      <c r="C40" s="77"/>
      <c r="D40" s="76"/>
      <c r="E40" s="77"/>
      <c r="F40" s="76"/>
      <c r="G40" s="77"/>
      <c r="H40" s="76"/>
      <c r="I40" s="77"/>
      <c r="J40" s="29"/>
    </row>
    <row r="41" spans="1:11" ht="14.25">
      <c r="A41" s="76"/>
      <c r="B41" s="76"/>
      <c r="C41" s="77"/>
      <c r="D41" s="76"/>
      <c r="E41" s="77"/>
      <c r="F41" s="76"/>
      <c r="G41" s="77"/>
      <c r="H41" s="76"/>
      <c r="I41" s="77"/>
      <c r="J41" s="29"/>
    </row>
    <row r="42" spans="1:11" ht="14.25">
      <c r="A42" s="76"/>
      <c r="B42" s="76"/>
      <c r="C42" s="77"/>
      <c r="D42" s="76"/>
      <c r="E42" s="77"/>
      <c r="F42" s="76"/>
      <c r="G42" s="77"/>
      <c r="H42" s="76"/>
      <c r="I42" s="77"/>
      <c r="J42" s="29"/>
    </row>
  </sheetData>
  <mergeCells count="13">
    <mergeCell ref="B5:J5"/>
    <mergeCell ref="B1:J1"/>
    <mergeCell ref="L10:L15"/>
    <mergeCell ref="V2:V3"/>
    <mergeCell ref="Q2:Q3"/>
    <mergeCell ref="R2:R3"/>
    <mergeCell ref="S2:S3"/>
    <mergeCell ref="M1:V1"/>
    <mergeCell ref="O2:O3"/>
    <mergeCell ref="U2:U3"/>
    <mergeCell ref="T2:T3"/>
    <mergeCell ref="N2:N3"/>
    <mergeCell ref="P2:P3"/>
  </mergeCells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O30"/>
  <sheetViews>
    <sheetView showGridLines="0" workbookViewId="0">
      <selection activeCell="D8" sqref="D8"/>
    </sheetView>
  </sheetViews>
  <sheetFormatPr defaultColWidth="8.85546875" defaultRowHeight="15"/>
  <cols>
    <col min="1" max="1" width="37.42578125" style="1" customWidth="1"/>
    <col min="2" max="16384" width="8.85546875" style="1"/>
  </cols>
  <sheetData>
    <row r="1" spans="1:15">
      <c r="A1" s="3" t="s">
        <v>2</v>
      </c>
    </row>
    <row r="2" spans="1:15">
      <c r="A2" s="4" t="s">
        <v>1</v>
      </c>
    </row>
    <row r="3" spans="1:15">
      <c r="A3" s="4" t="s">
        <v>23</v>
      </c>
    </row>
    <row r="5" spans="1:15">
      <c r="A5" s="10"/>
      <c r="B5" s="12" t="s">
        <v>7</v>
      </c>
      <c r="C5" s="149" t="s">
        <v>4</v>
      </c>
      <c r="D5" s="150"/>
      <c r="E5" s="151" t="s">
        <v>28</v>
      </c>
      <c r="F5" s="149"/>
      <c r="G5" s="152" t="s">
        <v>29</v>
      </c>
      <c r="H5" s="153"/>
      <c r="I5" s="2"/>
      <c r="J5" s="2"/>
      <c r="K5" s="2"/>
      <c r="L5" s="2"/>
      <c r="M5" s="2"/>
      <c r="N5" s="2"/>
      <c r="O5" s="2"/>
    </row>
    <row r="6" spans="1:15">
      <c r="A6" s="10"/>
      <c r="B6" s="5">
        <f>SUM(B7:B24)</f>
        <v>29.429499999999997</v>
      </c>
      <c r="C6" s="6" t="s">
        <v>5</v>
      </c>
      <c r="D6" s="7" t="s">
        <v>6</v>
      </c>
      <c r="E6" s="16" t="s">
        <v>24</v>
      </c>
      <c r="F6" s="6" t="s">
        <v>25</v>
      </c>
      <c r="G6" s="6" t="s">
        <v>24</v>
      </c>
      <c r="H6" s="7" t="s">
        <v>25</v>
      </c>
      <c r="I6" s="2"/>
      <c r="J6" s="2"/>
      <c r="K6" s="2"/>
      <c r="L6" s="2"/>
      <c r="M6" s="2"/>
      <c r="N6" s="2"/>
      <c r="O6" s="2"/>
    </row>
    <row r="7" spans="1:15">
      <c r="A7" s="11" t="s">
        <v>3</v>
      </c>
      <c r="B7" s="6">
        <v>8</v>
      </c>
      <c r="C7" s="6"/>
      <c r="D7" s="7"/>
      <c r="E7" s="16"/>
      <c r="F7" s="6"/>
      <c r="G7" s="6"/>
      <c r="H7" s="7"/>
      <c r="I7" s="2"/>
      <c r="J7" s="2"/>
      <c r="K7" s="2"/>
      <c r="L7" s="2"/>
      <c r="M7" s="2"/>
      <c r="N7" s="2"/>
      <c r="O7" s="2"/>
    </row>
    <row r="8" spans="1:15">
      <c r="A8" s="11" t="s">
        <v>8</v>
      </c>
      <c r="B8" s="6">
        <v>1.6500000000000001E-2</v>
      </c>
      <c r="C8" s="6" t="s">
        <v>12</v>
      </c>
      <c r="D8" s="7" t="s">
        <v>13</v>
      </c>
      <c r="E8" s="16"/>
      <c r="F8" s="6"/>
      <c r="G8" s="6"/>
      <c r="H8" s="7"/>
      <c r="I8" s="2"/>
      <c r="J8" s="2"/>
      <c r="K8" s="2"/>
      <c r="L8" s="2"/>
      <c r="M8" s="2"/>
      <c r="N8" s="2"/>
      <c r="O8" s="2"/>
    </row>
    <row r="9" spans="1:15">
      <c r="A9" s="11" t="s">
        <v>10</v>
      </c>
      <c r="B9" s="6">
        <v>7.34</v>
      </c>
      <c r="C9" s="6" t="s">
        <v>14</v>
      </c>
      <c r="D9" s="7" t="s">
        <v>15</v>
      </c>
      <c r="E9" s="16"/>
      <c r="F9" s="6"/>
      <c r="G9" s="6"/>
      <c r="H9" s="7"/>
      <c r="I9" s="2"/>
      <c r="J9" s="2"/>
      <c r="K9" s="2"/>
      <c r="L9" s="2"/>
      <c r="M9" s="2"/>
      <c r="N9" s="2"/>
      <c r="O9" s="2"/>
    </row>
    <row r="10" spans="1:15">
      <c r="A10" s="11" t="s">
        <v>8</v>
      </c>
      <c r="B10" s="6">
        <v>1.6500000000000001E-2</v>
      </c>
      <c r="C10" s="6" t="s">
        <v>16</v>
      </c>
      <c r="D10" s="7" t="s">
        <v>17</v>
      </c>
      <c r="E10" s="16"/>
      <c r="F10" s="6"/>
      <c r="G10" s="6"/>
      <c r="H10" s="7"/>
      <c r="I10" s="2"/>
      <c r="J10" s="2"/>
      <c r="K10" s="2"/>
      <c r="L10" s="2"/>
      <c r="M10" s="2"/>
      <c r="N10" s="2"/>
      <c r="O10" s="2"/>
    </row>
    <row r="11" spans="1:15">
      <c r="A11" s="11" t="s">
        <v>9</v>
      </c>
      <c r="B11" s="6">
        <v>9.1</v>
      </c>
      <c r="C11" s="6" t="s">
        <v>18</v>
      </c>
      <c r="D11" s="7" t="s">
        <v>19</v>
      </c>
      <c r="E11" s="16"/>
      <c r="F11" s="6"/>
      <c r="G11" s="6" t="s">
        <v>26</v>
      </c>
      <c r="H11" s="7"/>
      <c r="I11" s="2"/>
      <c r="J11" s="2"/>
      <c r="K11" s="2"/>
      <c r="L11" s="2"/>
      <c r="M11" s="2"/>
      <c r="N11" s="2"/>
      <c r="O11" s="2"/>
    </row>
    <row r="12" spans="1:15">
      <c r="A12" s="13" t="s">
        <v>11</v>
      </c>
      <c r="B12" s="6">
        <v>7.6499999999999999E-2</v>
      </c>
      <c r="C12" s="6" t="s">
        <v>20</v>
      </c>
      <c r="D12" s="7" t="s">
        <v>0</v>
      </c>
      <c r="E12" s="16"/>
      <c r="F12" s="6"/>
      <c r="G12" s="6"/>
      <c r="H12" s="7"/>
      <c r="I12" s="2"/>
      <c r="J12" s="2"/>
      <c r="K12" s="2"/>
      <c r="L12" s="2"/>
      <c r="M12" s="2"/>
      <c r="N12" s="2"/>
      <c r="O12" s="2"/>
    </row>
    <row r="13" spans="1:15">
      <c r="A13" s="14" t="s">
        <v>48</v>
      </c>
      <c r="B13" s="6">
        <f>0.122*40</f>
        <v>4.88</v>
      </c>
      <c r="C13" s="6" t="s">
        <v>21</v>
      </c>
      <c r="D13" s="7" t="s">
        <v>22</v>
      </c>
      <c r="E13" s="16"/>
      <c r="F13" s="6"/>
      <c r="G13" s="6" t="s">
        <v>27</v>
      </c>
      <c r="H13" s="7"/>
      <c r="I13" s="2"/>
      <c r="J13" s="2"/>
      <c r="K13" s="2"/>
      <c r="L13" s="2"/>
      <c r="M13" s="2"/>
      <c r="N13" s="2"/>
      <c r="O13" s="2"/>
    </row>
    <row r="14" spans="1:15">
      <c r="A14" s="14"/>
      <c r="B14" s="6"/>
      <c r="C14" s="6"/>
      <c r="D14" s="7"/>
      <c r="E14" s="16"/>
      <c r="F14" s="6"/>
      <c r="G14" s="6"/>
      <c r="H14" s="7"/>
      <c r="I14" s="2"/>
      <c r="J14" s="2"/>
      <c r="K14" s="2"/>
      <c r="L14" s="2"/>
      <c r="M14" s="2"/>
      <c r="N14" s="2"/>
      <c r="O14" s="2"/>
    </row>
    <row r="15" spans="1:15">
      <c r="A15" s="11"/>
      <c r="B15" s="6"/>
      <c r="C15" s="6"/>
      <c r="D15" s="7"/>
      <c r="E15" s="16"/>
      <c r="F15" s="6"/>
      <c r="G15" s="6"/>
      <c r="H15" s="7"/>
      <c r="I15" s="2"/>
      <c r="J15" s="2"/>
      <c r="K15" s="2"/>
      <c r="L15" s="2"/>
      <c r="M15" s="2"/>
      <c r="N15" s="2"/>
      <c r="O15" s="2"/>
    </row>
    <row r="16" spans="1:15">
      <c r="A16" s="11"/>
      <c r="B16" s="6"/>
      <c r="C16" s="6"/>
      <c r="D16" s="7"/>
      <c r="E16" s="16"/>
      <c r="F16" s="6"/>
      <c r="G16" s="6"/>
      <c r="H16" s="7"/>
      <c r="I16" s="2"/>
      <c r="J16" s="2"/>
      <c r="K16" s="2"/>
      <c r="L16" s="2"/>
      <c r="M16" s="2"/>
      <c r="N16" s="2"/>
      <c r="O16" s="2"/>
    </row>
    <row r="17" spans="1:15">
      <c r="A17" s="11"/>
      <c r="B17" s="6"/>
      <c r="C17" s="6"/>
      <c r="D17" s="7"/>
      <c r="E17" s="16"/>
      <c r="F17" s="6"/>
      <c r="G17" s="6"/>
      <c r="H17" s="7"/>
      <c r="I17" s="2"/>
      <c r="J17" s="2"/>
      <c r="K17" s="2"/>
      <c r="L17" s="2"/>
      <c r="M17" s="2"/>
      <c r="N17" s="2"/>
      <c r="O17" s="2"/>
    </row>
    <row r="18" spans="1:15">
      <c r="A18" s="11"/>
      <c r="B18" s="6"/>
      <c r="C18" s="6"/>
      <c r="D18" s="7"/>
      <c r="E18" s="16"/>
      <c r="F18" s="6"/>
      <c r="G18" s="6"/>
      <c r="H18" s="7"/>
      <c r="I18" s="2"/>
      <c r="J18" s="2"/>
      <c r="K18" s="2"/>
      <c r="L18" s="2"/>
      <c r="M18" s="2"/>
      <c r="N18" s="2"/>
      <c r="O18" s="2"/>
    </row>
    <row r="19" spans="1:15">
      <c r="A19" s="11"/>
      <c r="B19" s="6"/>
      <c r="C19" s="6"/>
      <c r="D19" s="7"/>
      <c r="E19" s="16"/>
      <c r="F19" s="6"/>
      <c r="G19" s="6"/>
      <c r="H19" s="7"/>
      <c r="I19" s="2"/>
      <c r="J19" s="2"/>
      <c r="K19" s="2"/>
      <c r="L19" s="2"/>
      <c r="M19" s="2"/>
      <c r="N19" s="2"/>
      <c r="O19" s="2"/>
    </row>
    <row r="20" spans="1:15">
      <c r="A20" s="11"/>
      <c r="B20" s="6"/>
      <c r="C20" s="6"/>
      <c r="D20" s="7"/>
      <c r="E20" s="16"/>
      <c r="F20" s="6"/>
      <c r="G20" s="6"/>
      <c r="H20" s="7"/>
      <c r="I20" s="2"/>
      <c r="J20" s="2"/>
      <c r="K20" s="2"/>
      <c r="L20" s="2"/>
      <c r="M20" s="2"/>
      <c r="N20" s="2"/>
      <c r="O20" s="2"/>
    </row>
    <row r="21" spans="1:15">
      <c r="A21" s="11"/>
      <c r="B21" s="6"/>
      <c r="C21" s="6"/>
      <c r="D21" s="7"/>
      <c r="E21" s="16"/>
      <c r="F21" s="6"/>
      <c r="G21" s="6"/>
      <c r="H21" s="7"/>
      <c r="I21" s="2"/>
      <c r="J21" s="2"/>
      <c r="K21" s="2"/>
      <c r="L21" s="2"/>
      <c r="M21" s="2"/>
      <c r="N21" s="2"/>
      <c r="O21" s="2"/>
    </row>
    <row r="22" spans="1:15">
      <c r="A22" s="11"/>
      <c r="B22" s="6"/>
      <c r="C22" s="6"/>
      <c r="D22" s="7"/>
      <c r="E22" s="16"/>
      <c r="F22" s="6"/>
      <c r="G22" s="6"/>
      <c r="H22" s="7"/>
      <c r="I22" s="2"/>
      <c r="J22" s="2"/>
      <c r="K22" s="2"/>
      <c r="L22" s="2"/>
      <c r="M22" s="2"/>
      <c r="N22" s="2"/>
      <c r="O22" s="2"/>
    </row>
    <row r="23" spans="1:15">
      <c r="A23" s="11"/>
      <c r="B23" s="6"/>
      <c r="C23" s="6"/>
      <c r="D23" s="7"/>
      <c r="E23" s="16"/>
      <c r="F23" s="6"/>
      <c r="G23" s="6"/>
      <c r="H23" s="7"/>
      <c r="I23" s="2"/>
      <c r="J23" s="2"/>
      <c r="K23" s="2"/>
      <c r="L23" s="2"/>
      <c r="M23" s="2"/>
      <c r="N23" s="2"/>
      <c r="O23" s="2"/>
    </row>
    <row r="24" spans="1:15">
      <c r="A24" s="15"/>
      <c r="B24" s="8"/>
      <c r="C24" s="8"/>
      <c r="D24" s="9"/>
      <c r="E24" s="17"/>
      <c r="F24" s="8"/>
      <c r="G24" s="8"/>
      <c r="H24" s="9"/>
      <c r="I24" s="2"/>
      <c r="J24" s="2"/>
      <c r="K24" s="2"/>
      <c r="L24" s="2"/>
      <c r="M24" s="2"/>
      <c r="N24" s="2"/>
      <c r="O24" s="2"/>
    </row>
    <row r="25" spans="1: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3">
    <mergeCell ref="C5:D5"/>
    <mergeCell ref="E5:F5"/>
    <mergeCell ref="G5:H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L53"/>
  <sheetViews>
    <sheetView topLeftCell="A2" workbookViewId="0">
      <selection activeCell="J14" sqref="J14"/>
    </sheetView>
  </sheetViews>
  <sheetFormatPr defaultColWidth="12.42578125" defaultRowHeight="15.75"/>
  <cols>
    <col min="1" max="1" width="5" style="155" customWidth="1"/>
    <col min="2" max="2" width="76.7109375" style="154" bestFit="1" customWidth="1"/>
    <col min="3" max="3" width="6.7109375" style="154" bestFit="1" customWidth="1"/>
    <col min="4" max="4" width="12.42578125" style="157"/>
    <col min="5" max="5" width="12.42578125" style="156"/>
    <col min="6" max="6" width="12.42578125" style="157"/>
    <col min="7" max="7" width="12.42578125" style="156"/>
    <col min="8" max="8" width="12.42578125" style="157"/>
    <col min="9" max="9" width="12.42578125" style="156"/>
    <col min="10" max="10" width="5" style="155" bestFit="1" customWidth="1"/>
    <col min="11" max="11" width="12.42578125" style="156"/>
    <col min="12" max="12" width="12.42578125" style="155"/>
    <col min="13" max="16384" width="12.42578125" style="154"/>
  </cols>
  <sheetData>
    <row r="1" spans="1:12">
      <c r="C1" s="155" t="s">
        <v>110</v>
      </c>
      <c r="D1" s="161" t="s">
        <v>109</v>
      </c>
      <c r="E1" s="161"/>
      <c r="F1" s="161"/>
      <c r="G1" s="161"/>
      <c r="H1" s="161"/>
      <c r="I1" s="161"/>
      <c r="J1" s="161" t="s">
        <v>108</v>
      </c>
      <c r="K1" s="161"/>
      <c r="L1" s="161"/>
    </row>
    <row r="2" spans="1:12">
      <c r="C2" s="155"/>
      <c r="D2" s="161" t="s">
        <v>107</v>
      </c>
      <c r="E2" s="161"/>
      <c r="F2" s="161"/>
      <c r="G2" s="161" t="s">
        <v>106</v>
      </c>
      <c r="H2" s="161"/>
      <c r="I2" s="161"/>
      <c r="J2" s="155" t="s">
        <v>105</v>
      </c>
      <c r="K2" s="159" t="s">
        <v>104</v>
      </c>
      <c r="L2" s="158" t="s">
        <v>103</v>
      </c>
    </row>
    <row r="3" spans="1:12">
      <c r="C3" s="155"/>
      <c r="D3" s="155" t="s">
        <v>25</v>
      </c>
      <c r="E3" s="160" t="s">
        <v>24</v>
      </c>
      <c r="F3" s="155" t="s">
        <v>102</v>
      </c>
      <c r="G3" s="155" t="s">
        <v>25</v>
      </c>
      <c r="H3" s="160" t="s">
        <v>24</v>
      </c>
      <c r="I3" s="155" t="s">
        <v>102</v>
      </c>
      <c r="K3" s="159">
        <f>SUM(K4:K51)</f>
        <v>508.45</v>
      </c>
      <c r="L3" s="158">
        <f>SUM(L4:L51)</f>
        <v>13.456</v>
      </c>
    </row>
    <row r="4" spans="1:12">
      <c r="A4" s="155">
        <f>IF(B4&gt;0,MAX($A$1:A1)+1,"")</f>
        <v>1</v>
      </c>
      <c r="B4" s="154" t="s">
        <v>101</v>
      </c>
      <c r="C4" s="154">
        <v>1.8</v>
      </c>
      <c r="D4" s="157" t="s">
        <v>100</v>
      </c>
      <c r="G4" s="156">
        <v>142</v>
      </c>
      <c r="J4" s="155">
        <v>1</v>
      </c>
      <c r="K4" s="156">
        <f>IF(AND(OR(G4&gt;0,H4&gt;0,I4&gt;0),J4&gt;0),J4*MIN(G4:I4),"")</f>
        <v>142</v>
      </c>
      <c r="L4" s="155">
        <f>IF(AND(OR(G4&gt;0,H4&gt;0,I4&gt;0),J4&gt;0,C4&gt;0),J4*C4,"")</f>
        <v>1.8</v>
      </c>
    </row>
    <row r="5" spans="1:12">
      <c r="A5" s="155">
        <f>IF(B5&gt;0,MAX($A$1:A4)+1,"")</f>
        <v>2</v>
      </c>
      <c r="B5" s="154" t="s">
        <v>99</v>
      </c>
      <c r="C5" s="155">
        <v>0.13700000000000001</v>
      </c>
      <c r="D5" s="157" t="s">
        <v>95</v>
      </c>
      <c r="G5" s="156">
        <v>2.15</v>
      </c>
      <c r="J5" s="155">
        <v>1</v>
      </c>
      <c r="K5" s="156">
        <f>IF(AND(OR(G5&gt;0,H5&gt;0,I5&gt;0),J5&gt;0),J5*MIN(G5:I5),"")</f>
        <v>2.15</v>
      </c>
      <c r="L5" s="155">
        <f>IF(AND(OR(G5&gt;0,H5&gt;0,I5&gt;0),J5&gt;0,C5&gt;0),J5*C5,"")</f>
        <v>0.13700000000000001</v>
      </c>
    </row>
    <row r="6" spans="1:12">
      <c r="A6" s="155">
        <f>IF(B6&gt;0,MAX($A$1:A5)+1,"")</f>
        <v>3</v>
      </c>
      <c r="B6" s="154" t="s">
        <v>98</v>
      </c>
      <c r="C6" s="154">
        <f>0.82*3</f>
        <v>2.46</v>
      </c>
      <c r="D6" s="157" t="s">
        <v>97</v>
      </c>
      <c r="G6" s="156">
        <f>5*2.95</f>
        <v>14.75</v>
      </c>
      <c r="J6" s="155">
        <v>1</v>
      </c>
      <c r="K6" s="156">
        <f>IF(AND(OR(G6&gt;0,H6&gt;0,I6&gt;0),J6&gt;0),J6*MIN(G6:I6),"")</f>
        <v>14.75</v>
      </c>
      <c r="L6" s="155">
        <f>IF(AND(OR(G6&gt;0,H6&gt;0,I6&gt;0),J6&gt;0,C6&gt;0),J6*C6,"")</f>
        <v>2.46</v>
      </c>
    </row>
    <row r="7" spans="1:12">
      <c r="A7" s="155">
        <f>IF(B7&gt;0,MAX($A$1:A6)+1,"")</f>
        <v>4</v>
      </c>
      <c r="B7" s="154" t="s">
        <v>96</v>
      </c>
      <c r="C7" s="155">
        <v>0.13700000000000001</v>
      </c>
      <c r="D7" s="157" t="s">
        <v>95</v>
      </c>
      <c r="G7" s="156">
        <v>2.15</v>
      </c>
      <c r="J7" s="155">
        <v>1</v>
      </c>
      <c r="K7" s="156">
        <f>IF(AND(OR(G7&gt;0,H7&gt;0,I7&gt;0),J7&gt;0),J7*MIN(G7:I7),"")</f>
        <v>2.15</v>
      </c>
      <c r="L7" s="155">
        <f>IF(AND(OR(G7&gt;0,H7&gt;0,I7&gt;0),J7&gt;0,C7&gt;0),J7*C7,"")</f>
        <v>0.13700000000000001</v>
      </c>
    </row>
    <row r="8" spans="1:12">
      <c r="A8" s="155">
        <f>IF(B8&gt;0,MAX($A$1:A7)+1,"")</f>
        <v>5</v>
      </c>
      <c r="B8" s="154" t="s">
        <v>94</v>
      </c>
      <c r="C8" s="154">
        <v>4.0999999999999996</v>
      </c>
      <c r="D8" s="157" t="s">
        <v>93</v>
      </c>
      <c r="G8" s="156">
        <v>178</v>
      </c>
      <c r="J8" s="155">
        <v>1</v>
      </c>
      <c r="K8" s="156">
        <f>IF(AND(OR(G8&gt;0,H8&gt;0,I8&gt;0),J8&gt;0),J8*MIN(G8:I8),"")</f>
        <v>178</v>
      </c>
      <c r="L8" s="155">
        <f>IF(AND(OR(G8&gt;0,H8&gt;0,I8&gt;0),J8&gt;0,C8&gt;0),J8*C8,"")</f>
        <v>4.0999999999999996</v>
      </c>
    </row>
    <row r="9" spans="1:12">
      <c r="A9" s="155">
        <f>IF(B9&gt;0,MAX($A$1:A8)+1,"")</f>
        <v>6</v>
      </c>
      <c r="B9" s="154" t="s">
        <v>92</v>
      </c>
      <c r="C9" s="155">
        <v>0.13700000000000001</v>
      </c>
      <c r="K9" s="156" t="str">
        <f>IF(AND(OR(G9&gt;0,H9&gt;0,I9&gt;0),J9&gt;0),J9*MIN(G9:I9),"")</f>
        <v/>
      </c>
      <c r="L9" s="155" t="str">
        <f>IF(AND(OR(G9&gt;0,H9&gt;0,I9&gt;0),J9&gt;0,C9&gt;0),J9*C9,"")</f>
        <v/>
      </c>
    </row>
    <row r="10" spans="1:12">
      <c r="A10" s="155">
        <f>IF(B10&gt;0,MAX($A$1:A9)+1,"")</f>
        <v>7</v>
      </c>
      <c r="B10" s="154" t="s">
        <v>91</v>
      </c>
      <c r="C10" s="154">
        <v>5.7000000000000002E-2</v>
      </c>
      <c r="G10" s="156">
        <v>31</v>
      </c>
      <c r="K10" s="156" t="str">
        <f>IF(AND(OR(G10&gt;0,H10&gt;0,I10&gt;0),J10&gt;0),J10*MIN(G10:I10),"")</f>
        <v/>
      </c>
      <c r="L10" s="155" t="str">
        <f>IF(AND(OR(G10&gt;0,H10&gt;0,I10&gt;0),J10&gt;0,C10&gt;0),J10*C10,"")</f>
        <v/>
      </c>
    </row>
    <row r="11" spans="1:12">
      <c r="A11" s="155">
        <f>IF(B11&gt;0,MAX($A$1:A10)+1,"")</f>
        <v>8</v>
      </c>
      <c r="B11" s="154" t="s">
        <v>90</v>
      </c>
      <c r="C11" s="154">
        <v>2.1999999999999999E-2</v>
      </c>
      <c r="D11" s="157" t="s">
        <v>89</v>
      </c>
      <c r="G11" s="156">
        <v>4.2</v>
      </c>
      <c r="J11" s="155">
        <v>1</v>
      </c>
      <c r="K11" s="156">
        <f>IF(AND(OR(G11&gt;0,H11&gt;0,I11&gt;0),J11&gt;0),J11*MIN(G11:I11),"")</f>
        <v>4.2</v>
      </c>
      <c r="L11" s="155">
        <f>IF(AND(OR(G11&gt;0,H11&gt;0,I11&gt;0),J11&gt;0,C11&gt;0),J11*C11,"")</f>
        <v>2.1999999999999999E-2</v>
      </c>
    </row>
    <row r="12" spans="1:12">
      <c r="A12" s="155">
        <f>IF(B12&gt;0,MAX($A$1:A11)+1,"")</f>
        <v>9</v>
      </c>
      <c r="B12" s="154" t="s">
        <v>88</v>
      </c>
      <c r="C12" s="154">
        <f>40*0.12</f>
        <v>4.8</v>
      </c>
      <c r="G12" s="156">
        <f>4.13*40</f>
        <v>165.2</v>
      </c>
      <c r="J12" s="155">
        <v>1</v>
      </c>
      <c r="K12" s="156">
        <f>IF(AND(OR(G12&gt;0,H12&gt;0,I12&gt;0),J12&gt;0),J12*MIN(G12:I12),"")</f>
        <v>165.2</v>
      </c>
      <c r="L12" s="155">
        <f>IF(AND(OR(G12&gt;0,H12&gt;0,I12&gt;0),J12&gt;0,C12&gt;0),J12*C12,"")</f>
        <v>4.8</v>
      </c>
    </row>
    <row r="13" spans="1:12">
      <c r="A13" s="155">
        <f>IF(B13&gt;0,MAX($A$1:A12)+1,"")</f>
        <v>10</v>
      </c>
      <c r="B13" s="154" t="s">
        <v>87</v>
      </c>
      <c r="C13" s="154">
        <f>30*0.08</f>
        <v>2.4</v>
      </c>
      <c r="G13" s="156">
        <f>1.44*30</f>
        <v>43.199999999999996</v>
      </c>
      <c r="K13" s="156" t="str">
        <f>IF(AND(OR(G13&gt;0,H13&gt;0,I13&gt;0),J13&gt;0),J13*MIN(G13:I13),"")</f>
        <v/>
      </c>
      <c r="L13" s="155" t="str">
        <f>IF(AND(OR(G13&gt;0,H13&gt;0,I13&gt;0),J13&gt;0,C13&gt;0),J13*C13,"")</f>
        <v/>
      </c>
    </row>
    <row r="14" spans="1:12">
      <c r="A14" s="155" t="str">
        <f>IF(B14&gt;0,MAX($A$1:A13)+1,"")</f>
        <v/>
      </c>
      <c r="K14" s="156" t="str">
        <f>IF(AND(OR(G14&gt;0,H14&gt;0,I14&gt;0),J14&gt;0),J14*MIN(G14:I14),"")</f>
        <v/>
      </c>
      <c r="L14" s="155" t="str">
        <f>IF(AND(OR(G14&gt;0,H14&gt;0,I14&gt;0),J14&gt;0,C14&gt;0),J14*C14,"")</f>
        <v/>
      </c>
    </row>
    <row r="15" spans="1:12">
      <c r="A15" s="155" t="str">
        <f>IF(B15&gt;0,MAX($A$1:A14)+1,"")</f>
        <v/>
      </c>
      <c r="K15" s="156" t="str">
        <f>IF(AND(OR(G15&gt;0,H15&gt;0,I15&gt;0),J15&gt;0),J15*MIN(G15:I15),"")</f>
        <v/>
      </c>
      <c r="L15" s="155" t="str">
        <f>IF(AND(OR(G15&gt;0,H15&gt;0,I15&gt;0),J15&gt;0,C15&gt;0),J15*C15,"")</f>
        <v/>
      </c>
    </row>
    <row r="16" spans="1:12">
      <c r="A16" s="155" t="str">
        <f>IF(B16&gt;0,MAX($A$1:A15)+1,"")</f>
        <v/>
      </c>
      <c r="K16" s="156" t="str">
        <f>IF(AND(OR(G16&gt;0,H16&gt;0,I16&gt;0),J16&gt;0),J16*MIN(G16:I16),"")</f>
        <v/>
      </c>
      <c r="L16" s="155" t="str">
        <f>IF(AND(OR(G16&gt;0,H16&gt;0,I16&gt;0),J16&gt;0,C16&gt;0),J16*C16,"")</f>
        <v/>
      </c>
    </row>
    <row r="17" spans="1:12">
      <c r="A17" s="155" t="str">
        <f>IF(B17&gt;0,MAX($A$1:A16)+1,"")</f>
        <v/>
      </c>
      <c r="K17" s="156" t="str">
        <f>IF(AND(OR(G17&gt;0,H17&gt;0,I17&gt;0),J17&gt;0),J17*MIN(G17:I17),"")</f>
        <v/>
      </c>
      <c r="L17" s="155" t="str">
        <f>IF(AND(OR(G17&gt;0,H17&gt;0,I17&gt;0),J17&gt;0,C17&gt;0),J17*C17,"")</f>
        <v/>
      </c>
    </row>
    <row r="18" spans="1:12">
      <c r="A18" s="155" t="str">
        <f>IF(B18&gt;0,MAX($A$1:A17)+1,"")</f>
        <v/>
      </c>
      <c r="K18" s="156" t="str">
        <f>IF(AND(OR(G18&gt;0,H18&gt;0,I18&gt;0),J18&gt;0),J18*MIN(G18:I18),"")</f>
        <v/>
      </c>
      <c r="L18" s="155" t="str">
        <f>IF(AND(OR(G18&gt;0,H18&gt;0,I18&gt;0),J18&gt;0,C18&gt;0),J18*C18,"")</f>
        <v/>
      </c>
    </row>
    <row r="19" spans="1:12">
      <c r="A19" s="155" t="str">
        <f>IF(B19&gt;0,MAX($A$1:A18)+1,"")</f>
        <v/>
      </c>
      <c r="K19" s="156" t="str">
        <f>IF(AND(OR(G19&gt;0,H19&gt;0,I19&gt;0),J19&gt;0),J19*MIN(G19:I19),"")</f>
        <v/>
      </c>
      <c r="L19" s="155" t="str">
        <f>IF(AND(OR(G19&gt;0,H19&gt;0,I19&gt;0),J19&gt;0,C19&gt;0),J19*C19,"")</f>
        <v/>
      </c>
    </row>
    <row r="20" spans="1:12">
      <c r="A20" s="155" t="str">
        <f>IF(B20&gt;0,MAX($A$1:A19)+1,"")</f>
        <v/>
      </c>
      <c r="K20" s="156" t="str">
        <f>IF(AND(OR(G20&gt;0,H20&gt;0,I20&gt;0),J20&gt;0),J20*MIN(G20:I20),"")</f>
        <v/>
      </c>
      <c r="L20" s="155" t="str">
        <f>IF(AND(OR(G20&gt;0,H20&gt;0,I20&gt;0),J20&gt;0,C20&gt;0),J20*C20,"")</f>
        <v/>
      </c>
    </row>
    <row r="21" spans="1:12">
      <c r="A21" s="155" t="str">
        <f>IF(B21&gt;0,MAX($A$1:A20)+1,"")</f>
        <v/>
      </c>
      <c r="K21" s="156" t="str">
        <f>IF(AND(OR(G21&gt;0,H21&gt;0,I21&gt;0),J21&gt;0),J21*MIN(G21:I21),"")</f>
        <v/>
      </c>
      <c r="L21" s="155" t="str">
        <f>IF(AND(OR(G21&gt;0,H21&gt;0,I21&gt;0),J21&gt;0,C21&gt;0),J21*C21,"")</f>
        <v/>
      </c>
    </row>
    <row r="22" spans="1:12">
      <c r="A22" s="155" t="str">
        <f>IF(B22&gt;0,MAX($A$1:A21)+1,"")</f>
        <v/>
      </c>
      <c r="K22" s="156" t="str">
        <f>IF(AND(OR(G22&gt;0,H22&gt;0,I22&gt;0),J22&gt;0),J22*MIN(G22:I22),"")</f>
        <v/>
      </c>
      <c r="L22" s="155" t="str">
        <f>IF(AND(OR(G22&gt;0,H22&gt;0,I22&gt;0),J22&gt;0,C22&gt;0),J22*C22,"")</f>
        <v/>
      </c>
    </row>
    <row r="23" spans="1:12">
      <c r="A23" s="155" t="str">
        <f>IF(B23&gt;0,MAX($A$1:A22)+1,"")</f>
        <v/>
      </c>
      <c r="K23" s="156" t="str">
        <f>IF(AND(OR(G23&gt;0,H23&gt;0,I23&gt;0),J23&gt;0),J23*MIN(G23:I23),"")</f>
        <v/>
      </c>
      <c r="L23" s="155" t="str">
        <f>IF(AND(OR(G23&gt;0,H23&gt;0,I23&gt;0),J23&gt;0,C23&gt;0),J23*C23,"")</f>
        <v/>
      </c>
    </row>
    <row r="24" spans="1:12">
      <c r="A24" s="155" t="str">
        <f>IF(B24&gt;0,MAX($A$1:A23)+1,"")</f>
        <v/>
      </c>
      <c r="K24" s="156" t="str">
        <f>IF(AND(OR(G24&gt;0,H24&gt;0,I24&gt;0),J24&gt;0),J24*MIN(G24:I24),"")</f>
        <v/>
      </c>
      <c r="L24" s="155" t="str">
        <f>IF(AND(OR(G24&gt;0,H24&gt;0,I24&gt;0),J24&gt;0,C24&gt;0),J24*C24,"")</f>
        <v/>
      </c>
    </row>
    <row r="25" spans="1:12">
      <c r="A25" s="155" t="str">
        <f>IF(B25&gt;0,MAX($A$1:A24)+1,"")</f>
        <v/>
      </c>
      <c r="K25" s="156" t="str">
        <f>IF(AND(OR(G25&gt;0,H25&gt;0,I25&gt;0),J25&gt;0),J25*MIN(G25:I25),"")</f>
        <v/>
      </c>
      <c r="L25" s="155" t="str">
        <f>IF(AND(OR(G25&gt;0,H25&gt;0,I25&gt;0),J25&gt;0,C25&gt;0),J25*C25,"")</f>
        <v/>
      </c>
    </row>
    <row r="26" spans="1:12">
      <c r="A26" s="155" t="str">
        <f>IF(B26&gt;0,MAX($A$1:A25)+1,"")</f>
        <v/>
      </c>
      <c r="K26" s="156" t="str">
        <f>IF(AND(OR(G26&gt;0,H26&gt;0,I26&gt;0),J26&gt;0),J26*MIN(G26:I26),"")</f>
        <v/>
      </c>
      <c r="L26" s="155" t="str">
        <f>IF(AND(OR(G26&gt;0,H26&gt;0,I26&gt;0),J26&gt;0,C26&gt;0),J26*C26,"")</f>
        <v/>
      </c>
    </row>
    <row r="27" spans="1:12">
      <c r="A27" s="155" t="str">
        <f>IF(B27&gt;0,MAX($A$1:A26)+1,"")</f>
        <v/>
      </c>
      <c r="K27" s="156" t="str">
        <f>IF(AND(OR(G27&gt;0,H27&gt;0,I27&gt;0),J27&gt;0),J27*MIN(G27:I27),"")</f>
        <v/>
      </c>
      <c r="L27" s="155" t="str">
        <f>IF(AND(OR(G27&gt;0,H27&gt;0,I27&gt;0),J27&gt;0,C27&gt;0),J27*C27,"")</f>
        <v/>
      </c>
    </row>
    <row r="28" spans="1:12">
      <c r="A28" s="155" t="str">
        <f>IF(B28&gt;0,MAX($A$1:A27)+1,"")</f>
        <v/>
      </c>
      <c r="K28" s="156" t="str">
        <f>IF(AND(OR(G28&gt;0,H28&gt;0,I28&gt;0),J28&gt;0),J28*MIN(G28:I28),"")</f>
        <v/>
      </c>
      <c r="L28" s="155" t="str">
        <f>IF(AND(OR(G28&gt;0,H28&gt;0,I28&gt;0),J28&gt;0,C28&gt;0),J28*C28,"")</f>
        <v/>
      </c>
    </row>
    <row r="29" spans="1:12">
      <c r="A29" s="155" t="str">
        <f>IF(B29&gt;0,MAX($A$1:A28)+1,"")</f>
        <v/>
      </c>
      <c r="K29" s="156" t="str">
        <f>IF(AND(OR(G29&gt;0,H29&gt;0,I29&gt;0),J29&gt;0),J29*MIN(G29:I29),"")</f>
        <v/>
      </c>
      <c r="L29" s="155" t="str">
        <f>IF(AND(OR(G29&gt;0,H29&gt;0,I29&gt;0),J29&gt;0,C29&gt;0),J29*C29,"")</f>
        <v/>
      </c>
    </row>
    <row r="30" spans="1:12">
      <c r="A30" s="155" t="str">
        <f>IF(B30&gt;0,MAX($A$1:A29)+1,"")</f>
        <v/>
      </c>
      <c r="K30" s="156" t="str">
        <f>IF(AND(OR(G30&gt;0,H30&gt;0,I30&gt;0),J30&gt;0),J30*MIN(G30:I30),"")</f>
        <v/>
      </c>
      <c r="L30" s="155" t="str">
        <f>IF(AND(OR(G30&gt;0,H30&gt;0,I30&gt;0),J30&gt;0,C30&gt;0),J30*C30,"")</f>
        <v/>
      </c>
    </row>
    <row r="31" spans="1:12">
      <c r="A31" s="155" t="str">
        <f>IF(B31&gt;0,MAX($A$1:A30)+1,"")</f>
        <v/>
      </c>
      <c r="K31" s="156" t="str">
        <f>IF(AND(OR(G31&gt;0,H31&gt;0,I31&gt;0),J31&gt;0),J31*MIN(G31:I31),"")</f>
        <v/>
      </c>
      <c r="L31" s="155" t="str">
        <f>IF(AND(OR(G31&gt;0,H31&gt;0,I31&gt;0),J31&gt;0,C31&gt;0),J31*C31,"")</f>
        <v/>
      </c>
    </row>
    <row r="32" spans="1:12">
      <c r="A32" s="155" t="str">
        <f>IF(B32&gt;0,MAX($A$1:A31)+1,"")</f>
        <v/>
      </c>
      <c r="K32" s="156" t="str">
        <f>IF(AND(OR(G32&gt;0,H32&gt;0,I32&gt;0),J32&gt;0),J32*MIN(G32:I32),"")</f>
        <v/>
      </c>
      <c r="L32" s="155" t="str">
        <f>IF(AND(OR(G32&gt;0,H32&gt;0,I32&gt;0),J32&gt;0,C32&gt;0),J32*C32,"")</f>
        <v/>
      </c>
    </row>
    <row r="33" spans="1:12">
      <c r="A33" s="155" t="str">
        <f>IF(B33&gt;0,MAX($A$1:A32)+1,"")</f>
        <v/>
      </c>
      <c r="K33" s="156" t="str">
        <f>IF(AND(OR(G33&gt;0,H33&gt;0,I33&gt;0),J33&gt;0),J33*MIN(G33:I33),"")</f>
        <v/>
      </c>
      <c r="L33" s="155" t="str">
        <f>IF(AND(OR(G33&gt;0,H33&gt;0,I33&gt;0),J33&gt;0,C33&gt;0),J33*C33,"")</f>
        <v/>
      </c>
    </row>
    <row r="34" spans="1:12">
      <c r="A34" s="155" t="str">
        <f>IF(B34&gt;0,MAX($A$1:A33)+1,"")</f>
        <v/>
      </c>
      <c r="K34" s="156" t="str">
        <f>IF(AND(OR(G34&gt;0,H34&gt;0,I34&gt;0),J34&gt;0),J34*MIN(G34:I34),"")</f>
        <v/>
      </c>
      <c r="L34" s="155" t="str">
        <f>IF(AND(OR(G34&gt;0,H34&gt;0,I34&gt;0),J34&gt;0,C34&gt;0),J34*C34,"")</f>
        <v/>
      </c>
    </row>
    <row r="35" spans="1:12">
      <c r="A35" s="155" t="str">
        <f>IF(B35&gt;0,MAX($A$1:A34)+1,"")</f>
        <v/>
      </c>
      <c r="K35" s="156" t="str">
        <f>IF(AND(OR(G35&gt;0,H35&gt;0,I35&gt;0),J35&gt;0),J35*MIN(G35:I35),"")</f>
        <v/>
      </c>
      <c r="L35" s="155" t="str">
        <f>IF(AND(OR(G35&gt;0,H35&gt;0,I35&gt;0),J35&gt;0,C35&gt;0),J35*C35,"")</f>
        <v/>
      </c>
    </row>
    <row r="36" spans="1:12">
      <c r="A36" s="155" t="str">
        <f>IF(B36&gt;0,MAX($A$1:A35)+1,"")</f>
        <v/>
      </c>
      <c r="K36" s="156" t="str">
        <f>IF(AND(OR(G36&gt;0,H36&gt;0,I36&gt;0),J36&gt;0),J36*MIN(G36:I36),"")</f>
        <v/>
      </c>
      <c r="L36" s="155" t="str">
        <f>IF(AND(OR(G36&gt;0,H36&gt;0,I36&gt;0),J36&gt;0,C36&gt;0),J36*C36,"")</f>
        <v/>
      </c>
    </row>
    <row r="37" spans="1:12">
      <c r="A37" s="155" t="str">
        <f>IF(B37&gt;0,MAX($A$1:A36)+1,"")</f>
        <v/>
      </c>
      <c r="K37" s="156" t="str">
        <f>IF(AND(OR(G37&gt;0,H37&gt;0,I37&gt;0),J37&gt;0),J37*MIN(G37:I37),"")</f>
        <v/>
      </c>
      <c r="L37" s="155" t="str">
        <f>IF(AND(OR(G37&gt;0,H37&gt;0,I37&gt;0),J37&gt;0,C37&gt;0),J37*C37,"")</f>
        <v/>
      </c>
    </row>
    <row r="38" spans="1:12">
      <c r="A38" s="155" t="str">
        <f>IF(B38&gt;0,MAX($A$1:A37)+1,"")</f>
        <v/>
      </c>
      <c r="K38" s="156" t="str">
        <f>IF(AND(OR(G38&gt;0,H38&gt;0,I38&gt;0),J38&gt;0),J38*MIN(G38:I38),"")</f>
        <v/>
      </c>
      <c r="L38" s="155" t="str">
        <f>IF(AND(OR(G38&gt;0,H38&gt;0,I38&gt;0),J38&gt;0,C38&gt;0),J38*C38,"")</f>
        <v/>
      </c>
    </row>
    <row r="39" spans="1:12">
      <c r="A39" s="155" t="str">
        <f>IF(B39&gt;0,MAX($A$1:A38)+1,"")</f>
        <v/>
      </c>
      <c r="K39" s="156" t="str">
        <f>IF(AND(OR(G39&gt;0,H39&gt;0,I39&gt;0),J39&gt;0),J39*MIN(G39:I39),"")</f>
        <v/>
      </c>
      <c r="L39" s="155" t="str">
        <f>IF(AND(OR(G39&gt;0,H39&gt;0,I39&gt;0),J39&gt;0,C39&gt;0),J39*C39,"")</f>
        <v/>
      </c>
    </row>
    <row r="40" spans="1:12">
      <c r="A40" s="155" t="str">
        <f>IF(B40&gt;0,MAX($A$1:A39)+1,"")</f>
        <v/>
      </c>
      <c r="K40" s="156" t="str">
        <f>IF(AND(OR(G40&gt;0,H40&gt;0,I40&gt;0),J40&gt;0),J40*MIN(G40:I40),"")</f>
        <v/>
      </c>
      <c r="L40" s="155" t="str">
        <f>IF(AND(OR(G40&gt;0,H40&gt;0,I40&gt;0),J40&gt;0,C40&gt;0),J40*C40,"")</f>
        <v/>
      </c>
    </row>
    <row r="41" spans="1:12">
      <c r="A41" s="155" t="str">
        <f>IF(B41&gt;0,MAX($A$1:A40)+1,"")</f>
        <v/>
      </c>
      <c r="K41" s="156" t="str">
        <f>IF(AND(OR(G41&gt;0,H41&gt;0,I41&gt;0),J41&gt;0),J41*MIN(G41:I41),"")</f>
        <v/>
      </c>
      <c r="L41" s="155" t="str">
        <f>IF(AND(OR(G41&gt;0,H41&gt;0,I41&gt;0),J41&gt;0,C41&gt;0),J41*C41,"")</f>
        <v/>
      </c>
    </row>
    <row r="42" spans="1:12">
      <c r="A42" s="155" t="str">
        <f>IF(B42&gt;0,MAX($A$1:A41)+1,"")</f>
        <v/>
      </c>
      <c r="K42" s="156" t="str">
        <f>IF(AND(OR(G42&gt;0,H42&gt;0,I42&gt;0),J42&gt;0),J42*MIN(G42:I42),"")</f>
        <v/>
      </c>
      <c r="L42" s="155" t="str">
        <f>IF(AND(OR(G42&gt;0,H42&gt;0,I42&gt;0),J42&gt;0,C42&gt;0),J42*C42,"")</f>
        <v/>
      </c>
    </row>
    <row r="43" spans="1:12">
      <c r="A43" s="155" t="str">
        <f>IF(B43&gt;0,MAX($A$1:A42)+1,"")</f>
        <v/>
      </c>
      <c r="K43" s="156" t="str">
        <f>IF(AND(OR(G43&gt;0,H43&gt;0,I43&gt;0),J43&gt;0),J43*MIN(G43:I43),"")</f>
        <v/>
      </c>
      <c r="L43" s="155" t="str">
        <f>IF(AND(OR(G43&gt;0,H43&gt;0,I43&gt;0),J43&gt;0,C43&gt;0),J43*C43,"")</f>
        <v/>
      </c>
    </row>
    <row r="44" spans="1:12">
      <c r="A44" s="155" t="str">
        <f>IF(B44&gt;0,MAX($A$1:A43)+1,"")</f>
        <v/>
      </c>
      <c r="K44" s="156" t="str">
        <f>IF(AND(OR(G44&gt;0,H44&gt;0,I44&gt;0),J44&gt;0),J44*MIN(G44:I44),"")</f>
        <v/>
      </c>
      <c r="L44" s="155" t="str">
        <f>IF(AND(OR(G44&gt;0,H44&gt;0,I44&gt;0),J44&gt;0,C44&gt;0),J44*C44,"")</f>
        <v/>
      </c>
    </row>
    <row r="45" spans="1:12">
      <c r="A45" s="155" t="str">
        <f>IF(B45&gt;0,MAX($A$1:A44)+1,"")</f>
        <v/>
      </c>
      <c r="K45" s="156" t="str">
        <f>IF(AND(OR(G45&gt;0,H45&gt;0,I45&gt;0),J45&gt;0),J45*MIN(G45:I45),"")</f>
        <v/>
      </c>
      <c r="L45" s="155" t="str">
        <f>IF(AND(OR(G45&gt;0,H45&gt;0,I45&gt;0),J45&gt;0,C45&gt;0),J45*C45,"")</f>
        <v/>
      </c>
    </row>
    <row r="46" spans="1:12">
      <c r="A46" s="155" t="str">
        <f>IF(B46&gt;0,MAX($A$1:A45)+1,"")</f>
        <v/>
      </c>
      <c r="K46" s="156" t="str">
        <f>IF(AND(OR(G46&gt;0,H46&gt;0,I46&gt;0),J46&gt;0),J46*MIN(G46:I46),"")</f>
        <v/>
      </c>
      <c r="L46" s="155" t="str">
        <f>IF(AND(OR(G46&gt;0,H46&gt;0,I46&gt;0),J46&gt;0,C46&gt;0),J46*C46,"")</f>
        <v/>
      </c>
    </row>
    <row r="47" spans="1:12">
      <c r="A47" s="155" t="str">
        <f>IF(B47&gt;0,MAX($A$1:A46)+1,"")</f>
        <v/>
      </c>
      <c r="K47" s="156" t="str">
        <f>IF(AND(OR(G47&gt;0,H47&gt;0,I47&gt;0),J47&gt;0),J47*MIN(G47:I47),"")</f>
        <v/>
      </c>
      <c r="L47" s="155" t="str">
        <f>IF(AND(OR(G47&gt;0,H47&gt;0,I47&gt;0),J47&gt;0,C47&gt;0),J47*C47,"")</f>
        <v/>
      </c>
    </row>
    <row r="48" spans="1:12">
      <c r="A48" s="155" t="str">
        <f>IF(B48&gt;0,MAX($A$1:A47)+1,"")</f>
        <v/>
      </c>
      <c r="K48" s="156" t="str">
        <f>IF(AND(OR(G48&gt;0,H48&gt;0,I48&gt;0),J48&gt;0),J48*MIN(G48:I48),"")</f>
        <v/>
      </c>
      <c r="L48" s="155" t="str">
        <f>IF(AND(OR(G48&gt;0,H48&gt;0,I48&gt;0),J48&gt;0,C48&gt;0),J48*C48,"")</f>
        <v/>
      </c>
    </row>
    <row r="49" spans="1:12">
      <c r="A49" s="155" t="str">
        <f>IF(B49&gt;0,MAX($A$1:A48)+1,"")</f>
        <v/>
      </c>
      <c r="K49" s="156" t="str">
        <f>IF(AND(OR(G49&gt;0,H49&gt;0,I49&gt;0),J49&gt;0),J49*MIN(G49:I49),"")</f>
        <v/>
      </c>
      <c r="L49" s="155" t="str">
        <f>IF(AND(OR(G49&gt;0,H49&gt;0,I49&gt;0),J49&gt;0,C49&gt;0),J49*C49,"")</f>
        <v/>
      </c>
    </row>
    <row r="50" spans="1:12">
      <c r="A50" s="155" t="str">
        <f>IF(B50&gt;0,MAX($A$1:A49)+1,"")</f>
        <v/>
      </c>
      <c r="K50" s="156" t="str">
        <f>IF(AND(OR(G50&gt;0,H50&gt;0,I50&gt;0),J50&gt;0),J50*MIN(G50:I50),"")</f>
        <v/>
      </c>
      <c r="L50" s="155" t="str">
        <f>IF(AND(OR(G50&gt;0,H50&gt;0,I50&gt;0),J50&gt;0,C50&gt;0),J50*C50,"")</f>
        <v/>
      </c>
    </row>
    <row r="51" spans="1:12">
      <c r="A51" s="155" t="str">
        <f>IF(B51&gt;0,MAX($A$1:A50)+1,"")</f>
        <v/>
      </c>
      <c r="K51" s="156" t="str">
        <f>IF(AND(OR(G51&gt;0,H51&gt;0,I51&gt;0),J51&gt;0),J51*MIN(G51:I51),"")</f>
        <v/>
      </c>
      <c r="L51" s="155" t="str">
        <f>IF(AND(OR(G51&gt;0,H51&gt;0,I51&gt;0),J51&gt;0,C51&gt;0),J51*C51,"")</f>
        <v/>
      </c>
    </row>
    <row r="52" spans="1:12">
      <c r="A52" s="155" t="str">
        <f>IF(B52&gt;0,MAX($A$1:A51)+1,"")</f>
        <v/>
      </c>
      <c r="K52" s="156" t="str">
        <f>IF(AND(OR(G52&gt;0,H52&gt;0,I52&gt;0),J52&gt;0),J52*MIN(G52:I52),"")</f>
        <v/>
      </c>
      <c r="L52" s="155" t="str">
        <f>IF(AND(OR(G52&gt;0,H52&gt;0,I52&gt;0),J52&gt;0,C52&gt;0),J52*C52,"")</f>
        <v/>
      </c>
    </row>
    <row r="53" spans="1:12">
      <c r="A53" s="155" t="str">
        <f>IF(B53&gt;0,MAX($A$1:A52)+1,"")</f>
        <v/>
      </c>
      <c r="K53" s="156" t="str">
        <f>IF(AND(OR(G53&gt;0,H53&gt;0,I53&gt;0),J53&gt;0),J53*MIN(G53:I53),"")</f>
        <v/>
      </c>
      <c r="L53" s="155" t="str">
        <f>IF(AND(OR(G53&gt;0,H53&gt;0,I53&gt;0),J53&gt;0,C53&gt;0),J53*C53,"")</f>
        <v/>
      </c>
    </row>
  </sheetData>
  <mergeCells count="4">
    <mergeCell ref="D1:I1"/>
    <mergeCell ref="J1:L1"/>
    <mergeCell ref="D2:F2"/>
    <mergeCell ref="G2:I2"/>
  </mergeCells>
  <pageMargins left="0.75" right="0.75" top="1" bottom="1" header="0.5" footer="0.5"/>
  <pageSetup paperSize="9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tabSelected="1" topLeftCell="A2" workbookViewId="0">
      <selection activeCell="J14" sqref="J14"/>
    </sheetView>
  </sheetViews>
  <sheetFormatPr defaultColWidth="12.42578125" defaultRowHeight="15.75"/>
  <cols>
    <col min="1" max="1" width="5" style="155" customWidth="1"/>
    <col min="2" max="2" width="76.7109375" style="154" bestFit="1" customWidth="1"/>
    <col min="3" max="3" width="6.7109375" style="154" bestFit="1" customWidth="1"/>
    <col min="4" max="4" width="12.42578125" style="157"/>
    <col min="5" max="5" width="12.42578125" style="156"/>
    <col min="6" max="6" width="12.42578125" style="157"/>
    <col min="7" max="7" width="12.42578125" style="156"/>
    <col min="8" max="8" width="12.42578125" style="157"/>
    <col min="9" max="9" width="12.42578125" style="156"/>
    <col min="10" max="10" width="5" style="155" bestFit="1" customWidth="1"/>
    <col min="11" max="11" width="12.42578125" style="156"/>
    <col min="12" max="12" width="12.42578125" style="155"/>
    <col min="13" max="16384" width="12.42578125" style="154"/>
  </cols>
  <sheetData>
    <row r="1" spans="1:12">
      <c r="C1" s="155" t="s">
        <v>110</v>
      </c>
      <c r="D1" s="161" t="s">
        <v>109</v>
      </c>
      <c r="E1" s="161"/>
      <c r="F1" s="161"/>
      <c r="G1" s="161"/>
      <c r="H1" s="161"/>
      <c r="I1" s="161"/>
      <c r="J1" s="161" t="s">
        <v>108</v>
      </c>
      <c r="K1" s="161"/>
      <c r="L1" s="161"/>
    </row>
    <row r="2" spans="1:12">
      <c r="C2" s="155"/>
      <c r="D2" s="161" t="s">
        <v>107</v>
      </c>
      <c r="E2" s="161"/>
      <c r="F2" s="161"/>
      <c r="G2" s="161" t="s">
        <v>106</v>
      </c>
      <c r="H2" s="161"/>
      <c r="I2" s="161"/>
      <c r="J2" s="155" t="s">
        <v>105</v>
      </c>
      <c r="K2" s="159" t="s">
        <v>104</v>
      </c>
      <c r="L2" s="158" t="s">
        <v>103</v>
      </c>
    </row>
    <row r="3" spans="1:12">
      <c r="C3" s="155"/>
      <c r="D3" s="155" t="s">
        <v>25</v>
      </c>
      <c r="E3" s="160" t="s">
        <v>24</v>
      </c>
      <c r="F3" s="155" t="s">
        <v>102</v>
      </c>
      <c r="G3" s="155" t="s">
        <v>25</v>
      </c>
      <c r="H3" s="160" t="s">
        <v>24</v>
      </c>
      <c r="I3" s="155" t="s">
        <v>102</v>
      </c>
      <c r="K3" s="159">
        <f>SUM(K4:K51)</f>
        <v>921.59999999999991</v>
      </c>
      <c r="L3" s="158">
        <f>SUM(L4:L51)</f>
        <v>24.294999999999998</v>
      </c>
    </row>
    <row r="4" spans="1:12">
      <c r="A4" s="155">
        <f>IF(B4&gt;0,MAX($A$1:A1)+1,"")</f>
        <v>1</v>
      </c>
      <c r="B4" s="154" t="s">
        <v>101</v>
      </c>
      <c r="C4" s="154">
        <v>1.8</v>
      </c>
      <c r="D4" s="157" t="s">
        <v>100</v>
      </c>
      <c r="G4" s="156">
        <v>142</v>
      </c>
      <c r="J4" s="155">
        <v>2</v>
      </c>
      <c r="K4" s="156">
        <f>IF(AND(OR(G4&gt;0,H4&gt;0,I4&gt;0),J4&gt;0),J4*MIN(G4:I4),"")</f>
        <v>284</v>
      </c>
      <c r="L4" s="155">
        <f>IF(AND(OR(G4&gt;0,H4&gt;0,I4&gt;0),J4&gt;0,C4&gt;0),J4*C4,"")</f>
        <v>3.6</v>
      </c>
    </row>
    <row r="5" spans="1:12">
      <c r="A5" s="155">
        <f>IF(B5&gt;0,MAX($A$1:A4)+1,"")</f>
        <v>2</v>
      </c>
      <c r="B5" s="154" t="s">
        <v>99</v>
      </c>
      <c r="C5" s="155">
        <v>0.13700000000000001</v>
      </c>
      <c r="D5" s="157" t="s">
        <v>95</v>
      </c>
      <c r="G5" s="156">
        <v>2.15</v>
      </c>
      <c r="J5" s="155">
        <v>1</v>
      </c>
      <c r="K5" s="156">
        <f>IF(AND(OR(G5&gt;0,H5&gt;0,I5&gt;0),J5&gt;0),J5*MIN(G5:I5),"")</f>
        <v>2.15</v>
      </c>
      <c r="L5" s="155">
        <f>IF(AND(OR(G5&gt;0,H5&gt;0,I5&gt;0),J5&gt;0,C5&gt;0),J5*C5,"")</f>
        <v>0.13700000000000001</v>
      </c>
    </row>
    <row r="6" spans="1:12">
      <c r="A6" s="155">
        <f>IF(B6&gt;0,MAX($A$1:A5)+1,"")</f>
        <v>3</v>
      </c>
      <c r="B6" s="154" t="s">
        <v>98</v>
      </c>
      <c r="C6" s="154">
        <f>0.82*3</f>
        <v>2.46</v>
      </c>
      <c r="D6" s="157" t="s">
        <v>97</v>
      </c>
      <c r="G6" s="156">
        <f>5*2.95</f>
        <v>14.75</v>
      </c>
      <c r="J6" s="155">
        <v>2</v>
      </c>
      <c r="K6" s="156">
        <f>IF(AND(OR(G6&gt;0,H6&gt;0,I6&gt;0),J6&gt;0),J6*MIN(G6:I6),"")</f>
        <v>29.5</v>
      </c>
      <c r="L6" s="155">
        <f>IF(AND(OR(G6&gt;0,H6&gt;0,I6&gt;0),J6&gt;0,C6&gt;0),J6*C6,"")</f>
        <v>4.92</v>
      </c>
    </row>
    <row r="7" spans="1:12">
      <c r="A7" s="155">
        <f>IF(B7&gt;0,MAX($A$1:A6)+1,"")</f>
        <v>4</v>
      </c>
      <c r="B7" s="154" t="s">
        <v>96</v>
      </c>
      <c r="C7" s="155">
        <v>0.13700000000000001</v>
      </c>
      <c r="D7" s="157" t="s">
        <v>95</v>
      </c>
      <c r="G7" s="156">
        <v>2.15</v>
      </c>
      <c r="J7" s="155">
        <v>1</v>
      </c>
      <c r="K7" s="156">
        <f>IF(AND(OR(G7&gt;0,H7&gt;0,I7&gt;0),J7&gt;0),J7*MIN(G7:I7),"")</f>
        <v>2.15</v>
      </c>
      <c r="L7" s="155">
        <f>IF(AND(OR(G7&gt;0,H7&gt;0,I7&gt;0),J7&gt;0,C7&gt;0),J7*C7,"")</f>
        <v>0.13700000000000001</v>
      </c>
    </row>
    <row r="8" spans="1:12">
      <c r="A8" s="155">
        <f>IF(B8&gt;0,MAX($A$1:A7)+1,"")</f>
        <v>5</v>
      </c>
      <c r="B8" s="154" t="s">
        <v>94</v>
      </c>
      <c r="C8" s="154">
        <v>4.0999999999999996</v>
      </c>
      <c r="D8" s="157" t="s">
        <v>93</v>
      </c>
      <c r="G8" s="156">
        <v>178</v>
      </c>
      <c r="J8" s="155">
        <v>2</v>
      </c>
      <c r="K8" s="156">
        <f>IF(AND(OR(G8&gt;0,H8&gt;0,I8&gt;0),J8&gt;0),J8*MIN(G8:I8),"")</f>
        <v>356</v>
      </c>
      <c r="L8" s="155">
        <f>IF(AND(OR(G8&gt;0,H8&gt;0,I8&gt;0),J8&gt;0,C8&gt;0),J8*C8,"")</f>
        <v>8.1999999999999993</v>
      </c>
    </row>
    <row r="9" spans="1:12">
      <c r="A9" s="155">
        <f>IF(B9&gt;0,MAX($A$1:A8)+1,"")</f>
        <v>6</v>
      </c>
      <c r="B9" s="154" t="s">
        <v>92</v>
      </c>
      <c r="C9" s="155">
        <v>0.13700000000000001</v>
      </c>
      <c r="K9" s="156" t="str">
        <f>IF(AND(OR(G9&gt;0,H9&gt;0,I9&gt;0),J9&gt;0),J9*MIN(G9:I9),"")</f>
        <v/>
      </c>
      <c r="L9" s="155" t="str">
        <f>IF(AND(OR(G9&gt;0,H9&gt;0,I9&gt;0),J9&gt;0,C9&gt;0),J9*C9,"")</f>
        <v/>
      </c>
    </row>
    <row r="10" spans="1:12">
      <c r="A10" s="155">
        <f>IF(B10&gt;0,MAX($A$1:A9)+1,"")</f>
        <v>7</v>
      </c>
      <c r="B10" s="154" t="s">
        <v>91</v>
      </c>
      <c r="C10" s="154">
        <v>5.7000000000000002E-2</v>
      </c>
      <c r="G10" s="156">
        <v>31</v>
      </c>
      <c r="J10" s="155">
        <v>1</v>
      </c>
      <c r="K10" s="156">
        <f>IF(AND(OR(G10&gt;0,H10&gt;0,I10&gt;0),J10&gt;0),J10*MIN(G10:I10),"")</f>
        <v>31</v>
      </c>
      <c r="L10" s="155">
        <f>IF(AND(OR(G10&gt;0,H10&gt;0,I10&gt;0),J10&gt;0,C10&gt;0),J10*C10,"")</f>
        <v>5.7000000000000002E-2</v>
      </c>
    </row>
    <row r="11" spans="1:12">
      <c r="A11" s="155">
        <f>IF(B11&gt;0,MAX($A$1:A10)+1,"")</f>
        <v>8</v>
      </c>
      <c r="B11" s="154" t="s">
        <v>90</v>
      </c>
      <c r="C11" s="154">
        <v>2.1999999999999999E-2</v>
      </c>
      <c r="D11" s="157" t="s">
        <v>89</v>
      </c>
      <c r="G11" s="156">
        <v>4.2</v>
      </c>
      <c r="J11" s="155">
        <v>2</v>
      </c>
      <c r="K11" s="156">
        <f>IF(AND(OR(G11&gt;0,H11&gt;0,I11&gt;0),J11&gt;0),J11*MIN(G11:I11),"")</f>
        <v>8.4</v>
      </c>
      <c r="L11" s="155">
        <f>IF(AND(OR(G11&gt;0,H11&gt;0,I11&gt;0),J11&gt;0,C11&gt;0),J11*C11,"")</f>
        <v>4.3999999999999997E-2</v>
      </c>
    </row>
    <row r="12" spans="1:12">
      <c r="A12" s="155">
        <f>IF(B12&gt;0,MAX($A$1:A11)+1,"")</f>
        <v>9</v>
      </c>
      <c r="B12" s="154" t="s">
        <v>88</v>
      </c>
      <c r="C12" s="154">
        <f>40*0.12</f>
        <v>4.8</v>
      </c>
      <c r="G12" s="156">
        <f>4.13*40</f>
        <v>165.2</v>
      </c>
      <c r="J12" s="155">
        <v>1</v>
      </c>
      <c r="K12" s="156">
        <f>IF(AND(OR(G12&gt;0,H12&gt;0,I12&gt;0),J12&gt;0),J12*MIN(G12:I12),"")</f>
        <v>165.2</v>
      </c>
      <c r="L12" s="155">
        <f>IF(AND(OR(G12&gt;0,H12&gt;0,I12&gt;0),J12&gt;0,C12&gt;0),J12*C12,"")</f>
        <v>4.8</v>
      </c>
    </row>
    <row r="13" spans="1:12">
      <c r="A13" s="155">
        <f>IF(B13&gt;0,MAX($A$1:A12)+1,"")</f>
        <v>10</v>
      </c>
      <c r="B13" s="154" t="s">
        <v>87</v>
      </c>
      <c r="C13" s="154">
        <f>30*0.08</f>
        <v>2.4</v>
      </c>
      <c r="G13" s="156">
        <f>1.44*30</f>
        <v>43.199999999999996</v>
      </c>
      <c r="J13" s="155">
        <v>1</v>
      </c>
      <c r="K13" s="156">
        <f>IF(AND(OR(G13&gt;0,H13&gt;0,I13&gt;0),J13&gt;0),J13*MIN(G13:I13),"")</f>
        <v>43.199999999999996</v>
      </c>
      <c r="L13" s="155">
        <f>IF(AND(OR(G13&gt;0,H13&gt;0,I13&gt;0),J13&gt;0,C13&gt;0),J13*C13,"")</f>
        <v>2.4</v>
      </c>
    </row>
    <row r="14" spans="1:12">
      <c r="A14" s="155" t="str">
        <f>IF(B14&gt;0,MAX($A$1:A13)+1,"")</f>
        <v/>
      </c>
      <c r="K14" s="156" t="str">
        <f>IF(AND(OR(G14&gt;0,H14&gt;0,I14&gt;0),J14&gt;0),J14*MIN(G14:I14),"")</f>
        <v/>
      </c>
      <c r="L14" s="155" t="str">
        <f>IF(AND(OR(G14&gt;0,H14&gt;0,I14&gt;0),J14&gt;0,C14&gt;0),J14*C14,"")</f>
        <v/>
      </c>
    </row>
    <row r="15" spans="1:12">
      <c r="A15" s="155" t="str">
        <f>IF(B15&gt;0,MAX($A$1:A14)+1,"")</f>
        <v/>
      </c>
      <c r="K15" s="156" t="str">
        <f>IF(AND(OR(G15&gt;0,H15&gt;0,I15&gt;0),J15&gt;0),J15*MIN(G15:I15),"")</f>
        <v/>
      </c>
      <c r="L15" s="155" t="str">
        <f>IF(AND(OR(G15&gt;0,H15&gt;0,I15&gt;0),J15&gt;0,C15&gt;0),J15*C15,"")</f>
        <v/>
      </c>
    </row>
    <row r="16" spans="1:12">
      <c r="A16" s="155" t="str">
        <f>IF(B16&gt;0,MAX($A$1:A15)+1,"")</f>
        <v/>
      </c>
      <c r="K16" s="156" t="str">
        <f>IF(AND(OR(G16&gt;0,H16&gt;0,I16&gt;0),J16&gt;0),J16*MIN(G16:I16),"")</f>
        <v/>
      </c>
      <c r="L16" s="155" t="str">
        <f>IF(AND(OR(G16&gt;0,H16&gt;0,I16&gt;0),J16&gt;0,C16&gt;0),J16*C16,"")</f>
        <v/>
      </c>
    </row>
    <row r="17" spans="1:12">
      <c r="A17" s="155" t="str">
        <f>IF(B17&gt;0,MAX($A$1:A16)+1,"")</f>
        <v/>
      </c>
      <c r="K17" s="156" t="str">
        <f>IF(AND(OR(G17&gt;0,H17&gt;0,I17&gt;0),J17&gt;0),J17*MIN(G17:I17),"")</f>
        <v/>
      </c>
      <c r="L17" s="155" t="str">
        <f>IF(AND(OR(G17&gt;0,H17&gt;0,I17&gt;0),J17&gt;0,C17&gt;0),J17*C17,"")</f>
        <v/>
      </c>
    </row>
    <row r="18" spans="1:12">
      <c r="A18" s="155" t="str">
        <f>IF(B18&gt;0,MAX($A$1:A17)+1,"")</f>
        <v/>
      </c>
      <c r="K18" s="156" t="str">
        <f>IF(AND(OR(G18&gt;0,H18&gt;0,I18&gt;0),J18&gt;0),J18*MIN(G18:I18),"")</f>
        <v/>
      </c>
      <c r="L18" s="155" t="str">
        <f>IF(AND(OR(G18&gt;0,H18&gt;0,I18&gt;0),J18&gt;0,C18&gt;0),J18*C18,"")</f>
        <v/>
      </c>
    </row>
    <row r="19" spans="1:12">
      <c r="A19" s="155" t="str">
        <f>IF(B19&gt;0,MAX($A$1:A18)+1,"")</f>
        <v/>
      </c>
      <c r="K19" s="156" t="str">
        <f>IF(AND(OR(G19&gt;0,H19&gt;0,I19&gt;0),J19&gt;0),J19*MIN(G19:I19),"")</f>
        <v/>
      </c>
      <c r="L19" s="155" t="str">
        <f>IF(AND(OR(G19&gt;0,H19&gt;0,I19&gt;0),J19&gt;0,C19&gt;0),J19*C19,"")</f>
        <v/>
      </c>
    </row>
    <row r="20" spans="1:12">
      <c r="A20" s="155" t="str">
        <f>IF(B20&gt;0,MAX($A$1:A19)+1,"")</f>
        <v/>
      </c>
      <c r="K20" s="156" t="str">
        <f>IF(AND(OR(G20&gt;0,H20&gt;0,I20&gt;0),J20&gt;0),J20*MIN(G20:I20),"")</f>
        <v/>
      </c>
      <c r="L20" s="155" t="str">
        <f>IF(AND(OR(G20&gt;0,H20&gt;0,I20&gt;0),J20&gt;0,C20&gt;0),J20*C20,"")</f>
        <v/>
      </c>
    </row>
    <row r="21" spans="1:12">
      <c r="A21" s="155" t="str">
        <f>IF(B21&gt;0,MAX($A$1:A20)+1,"")</f>
        <v/>
      </c>
      <c r="K21" s="156" t="str">
        <f>IF(AND(OR(G21&gt;0,H21&gt;0,I21&gt;0),J21&gt;0),J21*MIN(G21:I21),"")</f>
        <v/>
      </c>
      <c r="L21" s="155" t="str">
        <f>IF(AND(OR(G21&gt;0,H21&gt;0,I21&gt;0),J21&gt;0,C21&gt;0),J21*C21,"")</f>
        <v/>
      </c>
    </row>
    <row r="22" spans="1:12">
      <c r="A22" s="155" t="str">
        <f>IF(B22&gt;0,MAX($A$1:A21)+1,"")</f>
        <v/>
      </c>
      <c r="K22" s="156" t="str">
        <f>IF(AND(OR(G22&gt;0,H22&gt;0,I22&gt;0),J22&gt;0),J22*MIN(G22:I22),"")</f>
        <v/>
      </c>
      <c r="L22" s="155" t="str">
        <f>IF(AND(OR(G22&gt;0,H22&gt;0,I22&gt;0),J22&gt;0,C22&gt;0),J22*C22,"")</f>
        <v/>
      </c>
    </row>
    <row r="23" spans="1:12">
      <c r="A23" s="155" t="str">
        <f>IF(B23&gt;0,MAX($A$1:A22)+1,"")</f>
        <v/>
      </c>
      <c r="K23" s="156" t="str">
        <f>IF(AND(OR(G23&gt;0,H23&gt;0,I23&gt;0),J23&gt;0),J23*MIN(G23:I23),"")</f>
        <v/>
      </c>
      <c r="L23" s="155" t="str">
        <f>IF(AND(OR(G23&gt;0,H23&gt;0,I23&gt;0),J23&gt;0,C23&gt;0),J23*C23,"")</f>
        <v/>
      </c>
    </row>
    <row r="24" spans="1:12">
      <c r="A24" s="155" t="str">
        <f>IF(B24&gt;0,MAX($A$1:A23)+1,"")</f>
        <v/>
      </c>
      <c r="K24" s="156" t="str">
        <f>IF(AND(OR(G24&gt;0,H24&gt;0,I24&gt;0),J24&gt;0),J24*MIN(G24:I24),"")</f>
        <v/>
      </c>
      <c r="L24" s="155" t="str">
        <f>IF(AND(OR(G24&gt;0,H24&gt;0,I24&gt;0),J24&gt;0,C24&gt;0),J24*C24,"")</f>
        <v/>
      </c>
    </row>
    <row r="25" spans="1:12">
      <c r="A25" s="155" t="str">
        <f>IF(B25&gt;0,MAX($A$1:A24)+1,"")</f>
        <v/>
      </c>
      <c r="K25" s="156" t="str">
        <f>IF(AND(OR(G25&gt;0,H25&gt;0,I25&gt;0),J25&gt;0),J25*MIN(G25:I25),"")</f>
        <v/>
      </c>
      <c r="L25" s="155" t="str">
        <f>IF(AND(OR(G25&gt;0,H25&gt;0,I25&gt;0),J25&gt;0,C25&gt;0),J25*C25,"")</f>
        <v/>
      </c>
    </row>
    <row r="26" spans="1:12">
      <c r="A26" s="155" t="str">
        <f>IF(B26&gt;0,MAX($A$1:A25)+1,"")</f>
        <v/>
      </c>
      <c r="K26" s="156" t="str">
        <f>IF(AND(OR(G26&gt;0,H26&gt;0,I26&gt;0),J26&gt;0),J26*MIN(G26:I26),"")</f>
        <v/>
      </c>
      <c r="L26" s="155" t="str">
        <f>IF(AND(OR(G26&gt;0,H26&gt;0,I26&gt;0),J26&gt;0,C26&gt;0),J26*C26,"")</f>
        <v/>
      </c>
    </row>
    <row r="27" spans="1:12">
      <c r="A27" s="155" t="str">
        <f>IF(B27&gt;0,MAX($A$1:A26)+1,"")</f>
        <v/>
      </c>
      <c r="K27" s="156" t="str">
        <f>IF(AND(OR(G27&gt;0,H27&gt;0,I27&gt;0),J27&gt;0),J27*MIN(G27:I27),"")</f>
        <v/>
      </c>
      <c r="L27" s="155" t="str">
        <f>IF(AND(OR(G27&gt;0,H27&gt;0,I27&gt;0),J27&gt;0,C27&gt;0),J27*C27,"")</f>
        <v/>
      </c>
    </row>
    <row r="28" spans="1:12">
      <c r="A28" s="155" t="str">
        <f>IF(B28&gt;0,MAX($A$1:A27)+1,"")</f>
        <v/>
      </c>
      <c r="K28" s="156" t="str">
        <f>IF(AND(OR(G28&gt;0,H28&gt;0,I28&gt;0),J28&gt;0),J28*MIN(G28:I28),"")</f>
        <v/>
      </c>
      <c r="L28" s="155" t="str">
        <f>IF(AND(OR(G28&gt;0,H28&gt;0,I28&gt;0),J28&gt;0,C28&gt;0),J28*C28,"")</f>
        <v/>
      </c>
    </row>
    <row r="29" spans="1:12">
      <c r="A29" s="155" t="str">
        <f>IF(B29&gt;0,MAX($A$1:A28)+1,"")</f>
        <v/>
      </c>
      <c r="K29" s="156" t="str">
        <f>IF(AND(OR(G29&gt;0,H29&gt;0,I29&gt;0),J29&gt;0),J29*MIN(G29:I29),"")</f>
        <v/>
      </c>
      <c r="L29" s="155" t="str">
        <f>IF(AND(OR(G29&gt;0,H29&gt;0,I29&gt;0),J29&gt;0,C29&gt;0),J29*C29,"")</f>
        <v/>
      </c>
    </row>
    <row r="30" spans="1:12">
      <c r="A30" s="155" t="str">
        <f>IF(B30&gt;0,MAX($A$1:A29)+1,"")</f>
        <v/>
      </c>
      <c r="K30" s="156" t="str">
        <f>IF(AND(OR(G30&gt;0,H30&gt;0,I30&gt;0),J30&gt;0),J30*MIN(G30:I30),"")</f>
        <v/>
      </c>
      <c r="L30" s="155" t="str">
        <f>IF(AND(OR(G30&gt;0,H30&gt;0,I30&gt;0),J30&gt;0,C30&gt;0),J30*C30,"")</f>
        <v/>
      </c>
    </row>
    <row r="31" spans="1:12">
      <c r="A31" s="155" t="str">
        <f>IF(B31&gt;0,MAX($A$1:A30)+1,"")</f>
        <v/>
      </c>
      <c r="K31" s="156" t="str">
        <f>IF(AND(OR(G31&gt;0,H31&gt;0,I31&gt;0),J31&gt;0),J31*MIN(G31:I31),"")</f>
        <v/>
      </c>
      <c r="L31" s="155" t="str">
        <f>IF(AND(OR(G31&gt;0,H31&gt;0,I31&gt;0),J31&gt;0,C31&gt;0),J31*C31,"")</f>
        <v/>
      </c>
    </row>
    <row r="32" spans="1:12">
      <c r="A32" s="155" t="str">
        <f>IF(B32&gt;0,MAX($A$1:A31)+1,"")</f>
        <v/>
      </c>
      <c r="K32" s="156" t="str">
        <f>IF(AND(OR(G32&gt;0,H32&gt;0,I32&gt;0),J32&gt;0),J32*MIN(G32:I32),"")</f>
        <v/>
      </c>
      <c r="L32" s="155" t="str">
        <f>IF(AND(OR(G32&gt;0,H32&gt;0,I32&gt;0),J32&gt;0,C32&gt;0),J32*C32,"")</f>
        <v/>
      </c>
    </row>
    <row r="33" spans="1:12">
      <c r="A33" s="155" t="str">
        <f>IF(B33&gt;0,MAX($A$1:A32)+1,"")</f>
        <v/>
      </c>
      <c r="K33" s="156" t="str">
        <f>IF(AND(OR(G33&gt;0,H33&gt;0,I33&gt;0),J33&gt;0),J33*MIN(G33:I33),"")</f>
        <v/>
      </c>
      <c r="L33" s="155" t="str">
        <f>IF(AND(OR(G33&gt;0,H33&gt;0,I33&gt;0),J33&gt;0,C33&gt;0),J33*C33,"")</f>
        <v/>
      </c>
    </row>
    <row r="34" spans="1:12">
      <c r="A34" s="155" t="str">
        <f>IF(B34&gt;0,MAX($A$1:A33)+1,"")</f>
        <v/>
      </c>
      <c r="K34" s="156" t="str">
        <f>IF(AND(OR(G34&gt;0,H34&gt;0,I34&gt;0),J34&gt;0),J34*MIN(G34:I34),"")</f>
        <v/>
      </c>
      <c r="L34" s="155" t="str">
        <f>IF(AND(OR(G34&gt;0,H34&gt;0,I34&gt;0),J34&gt;0,C34&gt;0),J34*C34,"")</f>
        <v/>
      </c>
    </row>
    <row r="35" spans="1:12">
      <c r="A35" s="155" t="str">
        <f>IF(B35&gt;0,MAX($A$1:A34)+1,"")</f>
        <v/>
      </c>
      <c r="K35" s="156" t="str">
        <f>IF(AND(OR(G35&gt;0,H35&gt;0,I35&gt;0),J35&gt;0),J35*MIN(G35:I35),"")</f>
        <v/>
      </c>
      <c r="L35" s="155" t="str">
        <f>IF(AND(OR(G35&gt;0,H35&gt;0,I35&gt;0),J35&gt;0,C35&gt;0),J35*C35,"")</f>
        <v/>
      </c>
    </row>
    <row r="36" spans="1:12">
      <c r="A36" s="155" t="str">
        <f>IF(B36&gt;0,MAX($A$1:A35)+1,"")</f>
        <v/>
      </c>
      <c r="K36" s="156" t="str">
        <f>IF(AND(OR(G36&gt;0,H36&gt;0,I36&gt;0),J36&gt;0),J36*MIN(G36:I36),"")</f>
        <v/>
      </c>
      <c r="L36" s="155" t="str">
        <f>IF(AND(OR(G36&gt;0,H36&gt;0,I36&gt;0),J36&gt;0,C36&gt;0),J36*C36,"")</f>
        <v/>
      </c>
    </row>
    <row r="37" spans="1:12">
      <c r="A37" s="155" t="str">
        <f>IF(B37&gt;0,MAX($A$1:A36)+1,"")</f>
        <v/>
      </c>
      <c r="K37" s="156" t="str">
        <f>IF(AND(OR(G37&gt;0,H37&gt;0,I37&gt;0),J37&gt;0),J37*MIN(G37:I37),"")</f>
        <v/>
      </c>
      <c r="L37" s="155" t="str">
        <f>IF(AND(OR(G37&gt;0,H37&gt;0,I37&gt;0),J37&gt;0,C37&gt;0),J37*C37,"")</f>
        <v/>
      </c>
    </row>
    <row r="38" spans="1:12">
      <c r="A38" s="155" t="str">
        <f>IF(B38&gt;0,MAX($A$1:A37)+1,"")</f>
        <v/>
      </c>
      <c r="K38" s="156" t="str">
        <f>IF(AND(OR(G38&gt;0,H38&gt;0,I38&gt;0),J38&gt;0),J38*MIN(G38:I38),"")</f>
        <v/>
      </c>
      <c r="L38" s="155" t="str">
        <f>IF(AND(OR(G38&gt;0,H38&gt;0,I38&gt;0),J38&gt;0,C38&gt;0),J38*C38,"")</f>
        <v/>
      </c>
    </row>
    <row r="39" spans="1:12">
      <c r="A39" s="155" t="str">
        <f>IF(B39&gt;0,MAX($A$1:A38)+1,"")</f>
        <v/>
      </c>
      <c r="K39" s="156" t="str">
        <f>IF(AND(OR(G39&gt;0,H39&gt;0,I39&gt;0),J39&gt;0),J39*MIN(G39:I39),"")</f>
        <v/>
      </c>
      <c r="L39" s="155" t="str">
        <f>IF(AND(OR(G39&gt;0,H39&gt;0,I39&gt;0),J39&gt;0,C39&gt;0),J39*C39,"")</f>
        <v/>
      </c>
    </row>
    <row r="40" spans="1:12">
      <c r="A40" s="155" t="str">
        <f>IF(B40&gt;0,MAX($A$1:A39)+1,"")</f>
        <v/>
      </c>
      <c r="K40" s="156" t="str">
        <f>IF(AND(OR(G40&gt;0,H40&gt;0,I40&gt;0),J40&gt;0),J40*MIN(G40:I40),"")</f>
        <v/>
      </c>
      <c r="L40" s="155" t="str">
        <f>IF(AND(OR(G40&gt;0,H40&gt;0,I40&gt;0),J40&gt;0,C40&gt;0),J40*C40,"")</f>
        <v/>
      </c>
    </row>
    <row r="41" spans="1:12">
      <c r="A41" s="155" t="str">
        <f>IF(B41&gt;0,MAX($A$1:A40)+1,"")</f>
        <v/>
      </c>
      <c r="K41" s="156" t="str">
        <f>IF(AND(OR(G41&gt;0,H41&gt;0,I41&gt;0),J41&gt;0),J41*MIN(G41:I41),"")</f>
        <v/>
      </c>
      <c r="L41" s="155" t="str">
        <f>IF(AND(OR(G41&gt;0,H41&gt;0,I41&gt;0),J41&gt;0,C41&gt;0),J41*C41,"")</f>
        <v/>
      </c>
    </row>
    <row r="42" spans="1:12">
      <c r="A42" s="155" t="str">
        <f>IF(B42&gt;0,MAX($A$1:A41)+1,"")</f>
        <v/>
      </c>
      <c r="K42" s="156" t="str">
        <f>IF(AND(OR(G42&gt;0,H42&gt;0,I42&gt;0),J42&gt;0),J42*MIN(G42:I42),"")</f>
        <v/>
      </c>
      <c r="L42" s="155" t="str">
        <f>IF(AND(OR(G42&gt;0,H42&gt;0,I42&gt;0),J42&gt;0,C42&gt;0),J42*C42,"")</f>
        <v/>
      </c>
    </row>
    <row r="43" spans="1:12">
      <c r="A43" s="155" t="str">
        <f>IF(B43&gt;0,MAX($A$1:A42)+1,"")</f>
        <v/>
      </c>
      <c r="K43" s="156" t="str">
        <f>IF(AND(OR(G43&gt;0,H43&gt;0,I43&gt;0),J43&gt;0),J43*MIN(G43:I43),"")</f>
        <v/>
      </c>
      <c r="L43" s="155" t="str">
        <f>IF(AND(OR(G43&gt;0,H43&gt;0,I43&gt;0),J43&gt;0,C43&gt;0),J43*C43,"")</f>
        <v/>
      </c>
    </row>
    <row r="44" spans="1:12">
      <c r="A44" s="155" t="str">
        <f>IF(B44&gt;0,MAX($A$1:A43)+1,"")</f>
        <v/>
      </c>
      <c r="K44" s="156" t="str">
        <f>IF(AND(OR(G44&gt;0,H44&gt;0,I44&gt;0),J44&gt;0),J44*MIN(G44:I44),"")</f>
        <v/>
      </c>
      <c r="L44" s="155" t="str">
        <f>IF(AND(OR(G44&gt;0,H44&gt;0,I44&gt;0),J44&gt;0,C44&gt;0),J44*C44,"")</f>
        <v/>
      </c>
    </row>
    <row r="45" spans="1:12">
      <c r="A45" s="155" t="str">
        <f>IF(B45&gt;0,MAX($A$1:A44)+1,"")</f>
        <v/>
      </c>
      <c r="K45" s="156" t="str">
        <f>IF(AND(OR(G45&gt;0,H45&gt;0,I45&gt;0),J45&gt;0),J45*MIN(G45:I45),"")</f>
        <v/>
      </c>
      <c r="L45" s="155" t="str">
        <f>IF(AND(OR(G45&gt;0,H45&gt;0,I45&gt;0),J45&gt;0,C45&gt;0),J45*C45,"")</f>
        <v/>
      </c>
    </row>
    <row r="46" spans="1:12">
      <c r="A46" s="155" t="str">
        <f>IF(B46&gt;0,MAX($A$1:A45)+1,"")</f>
        <v/>
      </c>
      <c r="K46" s="156" t="str">
        <f>IF(AND(OR(G46&gt;0,H46&gt;0,I46&gt;0),J46&gt;0),J46*MIN(G46:I46),"")</f>
        <v/>
      </c>
      <c r="L46" s="155" t="str">
        <f>IF(AND(OR(G46&gt;0,H46&gt;0,I46&gt;0),J46&gt;0,C46&gt;0),J46*C46,"")</f>
        <v/>
      </c>
    </row>
    <row r="47" spans="1:12">
      <c r="A47" s="155" t="str">
        <f>IF(B47&gt;0,MAX($A$1:A46)+1,"")</f>
        <v/>
      </c>
      <c r="K47" s="156" t="str">
        <f>IF(AND(OR(G47&gt;0,H47&gt;0,I47&gt;0),J47&gt;0),J47*MIN(G47:I47),"")</f>
        <v/>
      </c>
      <c r="L47" s="155" t="str">
        <f>IF(AND(OR(G47&gt;0,H47&gt;0,I47&gt;0),J47&gt;0,C47&gt;0),J47*C47,"")</f>
        <v/>
      </c>
    </row>
    <row r="48" spans="1:12">
      <c r="A48" s="155" t="str">
        <f>IF(B48&gt;0,MAX($A$1:A47)+1,"")</f>
        <v/>
      </c>
      <c r="K48" s="156" t="str">
        <f>IF(AND(OR(G48&gt;0,H48&gt;0,I48&gt;0),J48&gt;0),J48*MIN(G48:I48),"")</f>
        <v/>
      </c>
      <c r="L48" s="155" t="str">
        <f>IF(AND(OR(G48&gt;0,H48&gt;0,I48&gt;0),J48&gt;0,C48&gt;0),J48*C48,"")</f>
        <v/>
      </c>
    </row>
    <row r="49" spans="1:12">
      <c r="A49" s="155" t="str">
        <f>IF(B49&gt;0,MAX($A$1:A48)+1,"")</f>
        <v/>
      </c>
      <c r="K49" s="156" t="str">
        <f>IF(AND(OR(G49&gt;0,H49&gt;0,I49&gt;0),J49&gt;0),J49*MIN(G49:I49),"")</f>
        <v/>
      </c>
      <c r="L49" s="155" t="str">
        <f>IF(AND(OR(G49&gt;0,H49&gt;0,I49&gt;0),J49&gt;0,C49&gt;0),J49*C49,"")</f>
        <v/>
      </c>
    </row>
    <row r="50" spans="1:12">
      <c r="A50" s="155" t="str">
        <f>IF(B50&gt;0,MAX($A$1:A49)+1,"")</f>
        <v/>
      </c>
      <c r="K50" s="156" t="str">
        <f>IF(AND(OR(G50&gt;0,H50&gt;0,I50&gt;0),J50&gt;0),J50*MIN(G50:I50),"")</f>
        <v/>
      </c>
      <c r="L50" s="155" t="str">
        <f>IF(AND(OR(G50&gt;0,H50&gt;0,I50&gt;0),J50&gt;0,C50&gt;0),J50*C50,"")</f>
        <v/>
      </c>
    </row>
    <row r="51" spans="1:12">
      <c r="A51" s="155" t="str">
        <f>IF(B51&gt;0,MAX($A$1:A50)+1,"")</f>
        <v/>
      </c>
      <c r="K51" s="156" t="str">
        <f>IF(AND(OR(G51&gt;0,H51&gt;0,I51&gt;0),J51&gt;0),J51*MIN(G51:I51),"")</f>
        <v/>
      </c>
      <c r="L51" s="155" t="str">
        <f>IF(AND(OR(G51&gt;0,H51&gt;0,I51&gt;0),J51&gt;0,C51&gt;0),J51*C51,"")</f>
        <v/>
      </c>
    </row>
    <row r="52" spans="1:12">
      <c r="A52" s="155" t="str">
        <f>IF(B52&gt;0,MAX($A$1:A51)+1,"")</f>
        <v/>
      </c>
      <c r="K52" s="156" t="str">
        <f>IF(AND(OR(G52&gt;0,H52&gt;0,I52&gt;0),J52&gt;0),J52*MIN(G52:I52),"")</f>
        <v/>
      </c>
      <c r="L52" s="155" t="str">
        <f>IF(AND(OR(G52&gt;0,H52&gt;0,I52&gt;0),J52&gt;0,C52&gt;0),J52*C52,"")</f>
        <v/>
      </c>
    </row>
    <row r="53" spans="1:12">
      <c r="A53" s="155" t="str">
        <f>IF(B53&gt;0,MAX($A$1:A52)+1,"")</f>
        <v/>
      </c>
      <c r="K53" s="156" t="str">
        <f>IF(AND(OR(G53&gt;0,H53&gt;0,I53&gt;0),J53&gt;0),J53*MIN(G53:I53),"")</f>
        <v/>
      </c>
      <c r="L53" s="155" t="str">
        <f>IF(AND(OR(G53&gt;0,H53&gt;0,I53&gt;0),J53&gt;0,C53&gt;0),J53*C53,"")</f>
        <v/>
      </c>
    </row>
  </sheetData>
  <mergeCells count="4">
    <mergeCell ref="D1:I1"/>
    <mergeCell ref="D2:F2"/>
    <mergeCell ref="G2:I2"/>
    <mergeCell ref="J1:L1"/>
  </mergeCells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Traction au Mouillage</vt:lpstr>
      <vt:lpstr>Sheet2</vt:lpstr>
      <vt:lpstr>Mouillage simple</vt:lpstr>
      <vt:lpstr>Mouillage complet 2 ancres</vt:lpstr>
    </vt:vector>
  </TitlesOfParts>
  <Company>SAUDIOGER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jvilcot</dc:creator>
  <cp:lastModifiedBy>jvilcot</cp:lastModifiedBy>
  <dcterms:created xsi:type="dcterms:W3CDTF">2011-07-17T09:48:44Z</dcterms:created>
  <dcterms:modified xsi:type="dcterms:W3CDTF">2012-02-27T10:25:29Z</dcterms:modified>
</cp:coreProperties>
</file>